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laattapisteoy-my.sharepoint.com/personal/mikko_malinen_laattapiste_fi/Documents/Työpöytä/Ajotiedostot/Balteco mittatilausallastasot/"/>
    </mc:Choice>
  </mc:AlternateContent>
  <xr:revisionPtr revIDLastSave="46" documentId="8_{ED148C91-2F57-49B8-9ABA-85650F152EE0}" xr6:coauthVersionLast="47" xr6:coauthVersionMax="47" xr10:uidLastSave="{08C27D7A-3BF8-4B9B-BB5E-F1E7B5E5A5B9}"/>
  <workbookProtection workbookAlgorithmName="SHA-512" workbookHashValue="DnbclsF/DRkGBBNaWkgP/BAKlRzwMYGmsbxUzv2pYVFgRjeXykmm7kG4es2P1Wg03ikSONJCpzJ2NZAaiEm0Mw==" workbookSaltValue="qbm2s6tbJWqD5veCpmgUNg==" workbookSpinCount="100000" lockStructure="1"/>
  <bookViews>
    <workbookView xWindow="-120" yWindow="-120" windowWidth="29040" windowHeight="17520" xr2:uid="{45587DDB-B6FB-4794-B3F1-5049FE070107}"/>
  </bookViews>
  <sheets>
    <sheet name="Etusivu" sheetId="2" r:id="rId1"/>
    <sheet name="Laskenta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2" l="1"/>
  <c r="R79" i="1" s="1"/>
  <c r="A54" i="2"/>
  <c r="S79" i="1"/>
  <c r="T37" i="1"/>
  <c r="T35" i="1" s="1"/>
  <c r="T72" i="1"/>
  <c r="R72" i="1"/>
  <c r="S72" i="1"/>
  <c r="V37" i="1"/>
  <c r="V35" i="1" s="1"/>
  <c r="W37" i="1"/>
  <c r="W35" i="1" s="1"/>
  <c r="J36" i="2"/>
  <c r="S78" i="1"/>
  <c r="R78" i="1"/>
  <c r="S77" i="1"/>
  <c r="R77" i="1"/>
  <c r="S75" i="1"/>
  <c r="T75" i="1" s="1"/>
  <c r="R75" i="1"/>
  <c r="A52" i="2"/>
  <c r="A59" i="2"/>
  <c r="A58" i="2"/>
  <c r="A55" i="2"/>
  <c r="T74" i="1"/>
  <c r="T73" i="1"/>
  <c r="R82" i="1"/>
  <c r="S82" i="1"/>
  <c r="T82" i="1"/>
  <c r="T83" i="1"/>
  <c r="G59" i="2" s="1"/>
  <c r="S83" i="1"/>
  <c r="F59" i="2" s="1"/>
  <c r="R83" i="1"/>
  <c r="E59" i="2" s="1"/>
  <c r="S62" i="1"/>
  <c r="AD37" i="1"/>
  <c r="AC37" i="1"/>
  <c r="AC35" i="1" s="1"/>
  <c r="A51" i="2"/>
  <c r="A50" i="2"/>
  <c r="AD35" i="1" l="1"/>
  <c r="F38" i="2" s="1"/>
  <c r="T79" i="1"/>
  <c r="B6" i="2"/>
  <c r="E38" i="2"/>
  <c r="S37" i="1"/>
  <c r="S35" i="1" s="1"/>
  <c r="R63" i="1"/>
  <c r="R62" i="1"/>
  <c r="T61" i="1"/>
  <c r="R61" i="1"/>
  <c r="E58" i="2"/>
  <c r="G58" i="2"/>
  <c r="T66" i="1"/>
  <c r="T67" i="1"/>
  <c r="S67" i="1"/>
  <c r="F58" i="2"/>
  <c r="AA11" i="1"/>
  <c r="AA19" i="1" s="1"/>
  <c r="M10" i="2" s="1"/>
  <c r="R67" i="1"/>
  <c r="X11" i="1"/>
  <c r="X19" i="1" s="1"/>
  <c r="O10" i="2" s="1"/>
  <c r="Y37" i="1"/>
  <c r="Y35" i="1" s="1"/>
  <c r="R66" i="1" l="1"/>
  <c r="R65" i="1"/>
  <c r="Z42" i="1"/>
  <c r="F43" i="2" s="1"/>
  <c r="Z23" i="1"/>
  <c r="F14" i="2" s="1"/>
  <c r="V42" i="1"/>
  <c r="U42" i="1"/>
  <c r="T42" i="1"/>
  <c r="U23" i="1"/>
  <c r="V23" i="1"/>
  <c r="T23" i="1"/>
  <c r="Y23" i="1" l="1"/>
  <c r="E14" i="2" s="1"/>
  <c r="Y42" i="1"/>
  <c r="V11" i="1"/>
  <c r="V19" i="1" s="1"/>
  <c r="L10" i="2" s="1"/>
  <c r="W11" i="1"/>
  <c r="W19" i="1" s="1"/>
  <c r="N10" i="2" s="1"/>
  <c r="V61" i="1"/>
  <c r="V60" i="1"/>
  <c r="X37" i="1"/>
  <c r="X35" i="1" s="1"/>
  <c r="E43" i="2" l="1"/>
  <c r="AA42" i="1"/>
  <c r="G43" i="2" s="1"/>
  <c r="E55" i="2" l="1"/>
  <c r="E54" i="2"/>
  <c r="F60" i="2"/>
  <c r="A60" i="2" s="1"/>
  <c r="E49" i="2"/>
  <c r="E60" i="2"/>
  <c r="R76" i="1"/>
  <c r="E53" i="2" s="1"/>
  <c r="E52" i="2"/>
  <c r="R74" i="1"/>
  <c r="E51" i="2" s="1"/>
  <c r="R73" i="1"/>
  <c r="E50" i="2" s="1"/>
  <c r="R59" i="1"/>
  <c r="R60" i="1"/>
  <c r="G51" i="2"/>
  <c r="S74" i="1"/>
  <c r="F51" i="2" s="1"/>
  <c r="T60" i="1"/>
  <c r="S60" i="1"/>
  <c r="T59" i="1"/>
  <c r="S59" i="1"/>
  <c r="F49" i="2"/>
  <c r="A49" i="2" s="1"/>
  <c r="U58" i="1"/>
  <c r="AB38" i="1"/>
  <c r="AA38" i="1"/>
  <c r="Z38" i="1"/>
  <c r="Q38" i="1"/>
  <c r="P38" i="1"/>
  <c r="O38" i="1"/>
  <c r="M37" i="1"/>
  <c r="M35" i="1" s="1"/>
  <c r="AD15" i="1"/>
  <c r="AC15" i="1"/>
  <c r="AB15" i="1"/>
  <c r="R15" i="1"/>
  <c r="Q15" i="1"/>
  <c r="P15" i="1"/>
  <c r="T13" i="1"/>
  <c r="N13" i="1"/>
  <c r="AD14" i="1"/>
  <c r="AC14" i="1"/>
  <c r="AB14" i="1"/>
  <c r="R14" i="1"/>
  <c r="Q14" i="1"/>
  <c r="P14" i="1"/>
  <c r="S13" i="1"/>
  <c r="M13" i="1"/>
  <c r="AD16" i="1"/>
  <c r="AC16" i="1"/>
  <c r="AB16" i="1"/>
  <c r="R16" i="1"/>
  <c r="Q16" i="1"/>
  <c r="P16" i="1"/>
  <c r="T65" i="1"/>
  <c r="F54" i="2"/>
  <c r="Z30" i="1"/>
  <c r="G50" i="2"/>
  <c r="S73" i="1"/>
  <c r="F50" i="2" s="1"/>
  <c r="F52" i="2"/>
  <c r="G60" i="2"/>
  <c r="F55" i="2"/>
  <c r="T76" i="1"/>
  <c r="G53" i="2" s="1"/>
  <c r="S76" i="1"/>
  <c r="F53" i="2" s="1"/>
  <c r="G49" i="2"/>
  <c r="S66" i="1"/>
  <c r="S65" i="1"/>
  <c r="S63" i="1"/>
  <c r="S61" i="1"/>
  <c r="T58" i="1"/>
  <c r="W58" i="1"/>
  <c r="V58" i="1"/>
  <c r="A53" i="2" l="1"/>
  <c r="AA37" i="1"/>
  <c r="AA35" i="1" s="1"/>
  <c r="T63" i="1"/>
  <c r="T62" i="1"/>
  <c r="AE16" i="1"/>
  <c r="AE14" i="1"/>
  <c r="AE15" i="1"/>
  <c r="S58" i="1"/>
  <c r="T77" i="1"/>
  <c r="G54" i="2" s="1"/>
  <c r="T78" i="1"/>
  <c r="G55" i="2" s="1"/>
  <c r="G52" i="2"/>
  <c r="Z11" i="1" l="1"/>
  <c r="Z19" i="1" s="1"/>
  <c r="F10" i="2" s="1"/>
  <c r="E29" i="2"/>
  <c r="Z37" i="1"/>
  <c r="Z35" i="1" s="1"/>
  <c r="Y4" i="1"/>
  <c r="Y11" i="1" s="1"/>
  <c r="Y19" i="1" l="1"/>
  <c r="H10" i="2" s="1"/>
  <c r="I29" i="2"/>
  <c r="S11" i="1"/>
  <c r="S19" i="1" s="1"/>
  <c r="I10" i="2" s="1"/>
  <c r="U37" i="1" l="1"/>
  <c r="U35" i="1" s="1"/>
  <c r="T11" i="1"/>
  <c r="T19" i="1" s="1"/>
  <c r="J10" i="2" s="1"/>
  <c r="H38" i="2"/>
  <c r="B38" i="2" l="1"/>
  <c r="A38" i="2"/>
  <c r="G29" i="2"/>
  <c r="P37" i="1"/>
  <c r="P35" i="1" s="1"/>
  <c r="S16" i="1"/>
  <c r="S14" i="1"/>
  <c r="S15" i="1"/>
  <c r="R41" i="1" l="1"/>
  <c r="P41" i="1"/>
  <c r="C38" i="2"/>
  <c r="G38" i="2"/>
  <c r="D38" i="2"/>
  <c r="T81" i="1" s="1"/>
  <c r="Q11" i="1"/>
  <c r="Q19" i="1" s="1"/>
  <c r="D10" i="2" s="1"/>
  <c r="N30" i="1"/>
  <c r="M30" i="1"/>
  <c r="A56" i="2" l="1"/>
  <c r="T80" i="1"/>
  <c r="G56" i="2" s="1"/>
  <c r="S80" i="1"/>
  <c r="F56" i="2" s="1"/>
  <c r="R80" i="1"/>
  <c r="E56" i="2" s="1"/>
  <c r="A57" i="2"/>
  <c r="G57" i="2"/>
  <c r="S81" i="1"/>
  <c r="F57" i="2" s="1"/>
  <c r="R81" i="1"/>
  <c r="E57" i="2" s="1"/>
  <c r="C43" i="2"/>
  <c r="C29" i="2"/>
  <c r="P73" i="1"/>
  <c r="U13" i="1"/>
  <c r="O13" i="1"/>
  <c r="N8" i="1"/>
  <c r="A64" i="2" l="1"/>
  <c r="N11" i="1"/>
  <c r="A29" i="2"/>
  <c r="B43" i="2" s="1"/>
  <c r="U4" i="1"/>
  <c r="N19" i="1" l="1"/>
  <c r="A10" i="2" s="1"/>
  <c r="K8" i="2"/>
  <c r="R64" i="1" s="1"/>
  <c r="U11" i="1"/>
  <c r="P23" i="1" l="1"/>
  <c r="Q23" i="1" s="1"/>
  <c r="U19" i="1"/>
  <c r="K10" i="2" s="1"/>
  <c r="T64" i="1"/>
  <c r="R23" i="1" l="1"/>
  <c r="C14" i="2" s="1"/>
  <c r="B14" i="2" s="1"/>
  <c r="Q41" i="1"/>
</calcChain>
</file>

<file path=xl/sharedStrings.xml><?xml version="1.0" encoding="utf-8"?>
<sst xmlns="http://schemas.openxmlformats.org/spreadsheetml/2006/main" count="665" uniqueCount="415">
  <si>
    <t>Product code</t>
  </si>
  <si>
    <r>
      <t xml:space="preserve">Product description </t>
    </r>
    <r>
      <rPr>
        <vertAlign val="superscript"/>
        <sz val="10"/>
        <color rgb="FFFF0000"/>
        <rFont val="Liberation Sans"/>
      </rPr>
      <t>1</t>
    </r>
  </si>
  <si>
    <r>
      <t xml:space="preserve">Tabletop, no basin included </t>
    </r>
    <r>
      <rPr>
        <vertAlign val="superscript"/>
        <sz val="10"/>
        <color rgb="FFFF0000"/>
        <rFont val="Liberation Sans"/>
      </rPr>
      <t>2</t>
    </r>
  </si>
  <si>
    <t>Tabletop, with basin(s)</t>
  </si>
  <si>
    <t>Adding front skirt:
100...150 mm</t>
  </si>
  <si>
    <t>Adding front + side (1x) skirt:
100...150 mm</t>
  </si>
  <si>
    <t>Adding front + side (2x) skirts:
100...150 mm</t>
  </si>
  <si>
    <t>Adding front skirt:
151...200 mm</t>
  </si>
  <si>
    <t>Adding front + side (1x) skirt:
151...200 mm</t>
  </si>
  <si>
    <t>Adding front + side (2x) skirts:
151...200 mm</t>
  </si>
  <si>
    <t>STANDARD PROGRAM:</t>
  </si>
  <si>
    <t>Single basin in the middle:</t>
  </si>
  <si>
    <t>Altaan leveys</t>
  </si>
  <si>
    <t>Altaan syvyys</t>
  </si>
  <si>
    <t>Etureuna</t>
  </si>
  <si>
    <t>Eturuna + 1 sivu</t>
  </si>
  <si>
    <t>Etureuna + 2 sivua</t>
  </si>
  <si>
    <t>HRC80/50</t>
  </si>
  <si>
    <t>Tabletop STANDARD with 1 integrated basin, middle position 601...800 mm</t>
  </si>
  <si>
    <t>601-800</t>
  </si>
  <si>
    <t>-</t>
  </si>
  <si>
    <t>HRC100/50</t>
  </si>
  <si>
    <t>Tabletop STANDARD with 1 integrated basin, middle position 801...1000 mm</t>
  </si>
  <si>
    <t>801-1000</t>
  </si>
  <si>
    <t>HRC120/50</t>
  </si>
  <si>
    <t>Tabletop STANDARD with 1 integrated basin, middle position 1001...1200 mm</t>
  </si>
  <si>
    <t>1001-1200</t>
  </si>
  <si>
    <t>HRC140/50</t>
  </si>
  <si>
    <t>Tabletop STANDARD with 1 integrated basin, middle position 1201...1400 mm</t>
  </si>
  <si>
    <t>1201-1400</t>
  </si>
  <si>
    <t>HRC160/50</t>
  </si>
  <si>
    <t>Tabletop STANDARD with 1 integrated basin, middle position 1401...1600 mm</t>
  </si>
  <si>
    <t>1401-1600</t>
  </si>
  <si>
    <t>Single basin on the left</t>
  </si>
  <si>
    <t>HRL100/50</t>
  </si>
  <si>
    <r>
      <t xml:space="preserve">Tabletop STANDARD with 1 integrated basin, left position 901...1000 mm (210 mm) </t>
    </r>
    <r>
      <rPr>
        <b/>
        <vertAlign val="superscript"/>
        <sz val="10"/>
        <color rgb="FFFF0000"/>
        <rFont val="Liberation Sans"/>
      </rPr>
      <t>3</t>
    </r>
  </si>
  <si>
    <t>Leveys</t>
  </si>
  <si>
    <t>HRL120/50</t>
  </si>
  <si>
    <r>
      <t xml:space="preserve">Tabletop STANDARD with 1 integrated basin, left position 1001...1200 mm (260 mm) </t>
    </r>
    <r>
      <rPr>
        <b/>
        <vertAlign val="superscript"/>
        <sz val="10"/>
        <color rgb="FFFF0000"/>
        <rFont val="Liberation Sans"/>
      </rPr>
      <t>3</t>
    </r>
  </si>
  <si>
    <t>HRL140/50</t>
  </si>
  <si>
    <r>
      <t xml:space="preserve">Tabletop STANDARD with 1 integrated basin, left position 1201...1400 mm (320 mm) </t>
    </r>
    <r>
      <rPr>
        <b/>
        <vertAlign val="superscript"/>
        <sz val="10"/>
        <color rgb="FFFF0000"/>
        <rFont val="Liberation Sans"/>
      </rPr>
      <t>3</t>
    </r>
  </si>
  <si>
    <t>HRL160/50</t>
  </si>
  <si>
    <r>
      <t xml:space="preserve">Tabletop STANDARD with 1 integrated basin, left position 1401...1600 mm (320 mm) </t>
    </r>
    <r>
      <rPr>
        <b/>
        <vertAlign val="superscript"/>
        <sz val="10"/>
        <color rgb="FFFF0000"/>
        <rFont val="Liberation Sans"/>
      </rPr>
      <t>3</t>
    </r>
  </si>
  <si>
    <t>HRL180/50</t>
  </si>
  <si>
    <r>
      <t xml:space="preserve">Tabletop STANDARD with 1 integrated basin, left position 1601...1800 mm (185 mm) </t>
    </r>
    <r>
      <rPr>
        <b/>
        <vertAlign val="superscript"/>
        <sz val="10"/>
        <color rgb="FFFF0000"/>
        <rFont val="Liberation Sans"/>
      </rPr>
      <t>3</t>
    </r>
  </si>
  <si>
    <t>HRL200/50</t>
  </si>
  <si>
    <r>
      <t xml:space="preserve">Tabletop STANDARD with 1 integrated basin, left position 1801...2000 mm (285 mm) </t>
    </r>
    <r>
      <rPr>
        <b/>
        <vertAlign val="superscript"/>
        <sz val="10"/>
        <color rgb="FFFF0000"/>
        <rFont val="Liberation Sans"/>
      </rPr>
      <t>3</t>
    </r>
  </si>
  <si>
    <t>Single basin on the right</t>
  </si>
  <si>
    <t>HRR100/50</t>
  </si>
  <si>
    <r>
      <t xml:space="preserve">Tabletop STANDARD with 1 integrated basin, right position 901...1000 mm (210 mm) </t>
    </r>
    <r>
      <rPr>
        <b/>
        <vertAlign val="superscript"/>
        <sz val="10"/>
        <color rgb="FFFF0000"/>
        <rFont val="Liberation Sans"/>
      </rPr>
      <t>3</t>
    </r>
  </si>
  <si>
    <t>HRR120/50</t>
  </si>
  <si>
    <r>
      <t xml:space="preserve">Tabletop STANDARD with 1 integrated basin, right position 1001...1200 mm (260 mm) </t>
    </r>
    <r>
      <rPr>
        <b/>
        <vertAlign val="superscript"/>
        <sz val="10"/>
        <color rgb="FFFF0000"/>
        <rFont val="Liberation Sans"/>
      </rPr>
      <t>3</t>
    </r>
  </si>
  <si>
    <t>HRR140/50</t>
  </si>
  <si>
    <r>
      <t xml:space="preserve">Tabletop STANDARD with 1 integrated basin, right position 1201...1400 mm (320 mm) </t>
    </r>
    <r>
      <rPr>
        <b/>
        <vertAlign val="superscript"/>
        <sz val="10"/>
        <color rgb="FFFF0000"/>
        <rFont val="Liberation Sans"/>
      </rPr>
      <t>3</t>
    </r>
  </si>
  <si>
    <t>HRR160/50</t>
  </si>
  <si>
    <r>
      <t xml:space="preserve">Tabletop STANDARD with 1 integrated basin, right position 1401...1600 mm (320 mm) </t>
    </r>
    <r>
      <rPr>
        <b/>
        <vertAlign val="superscript"/>
        <sz val="10"/>
        <color rgb="FFFF0000"/>
        <rFont val="Liberation Sans"/>
      </rPr>
      <t>3</t>
    </r>
  </si>
  <si>
    <t>HRR180/50</t>
  </si>
  <si>
    <r>
      <t xml:space="preserve">Tabletop STANDARD with 1 integrated basin, right position 1601...1800 mm (185 mm) </t>
    </r>
    <r>
      <rPr>
        <b/>
        <vertAlign val="superscript"/>
        <sz val="10"/>
        <color rgb="FFFF0000"/>
        <rFont val="Liberation Sans"/>
      </rPr>
      <t>3</t>
    </r>
  </si>
  <si>
    <t>HRR200/50</t>
  </si>
  <si>
    <r>
      <t xml:space="preserve">Tabletop STANDARD with 1 integrated basin, right position 1801...2000 mm (285 mm) </t>
    </r>
    <r>
      <rPr>
        <b/>
        <vertAlign val="superscript"/>
        <sz val="10"/>
        <color rgb="FFFF0000"/>
        <rFont val="Liberation Sans"/>
      </rPr>
      <t>3</t>
    </r>
  </si>
  <si>
    <t>Dual-basin in the middle</t>
  </si>
  <si>
    <t>HRD120/50</t>
  </si>
  <si>
    <r>
      <t xml:space="preserve">Tabletop STANDARD with 2 integrated basins, middle position 1205 mm (570 mm) </t>
    </r>
    <r>
      <rPr>
        <b/>
        <vertAlign val="superscript"/>
        <sz val="10"/>
        <color rgb="FFFF0000"/>
        <rFont val="Liberation Sans"/>
      </rPr>
      <t>4</t>
    </r>
  </si>
  <si>
    <t>HRD140/50</t>
  </si>
  <si>
    <r>
      <t xml:space="preserve">Tabletop STANDARD with 2 integrated basins, middle position 1405 mm (700 mm) </t>
    </r>
    <r>
      <rPr>
        <b/>
        <vertAlign val="superscript"/>
        <sz val="10"/>
        <color rgb="FFFF0000"/>
        <rFont val="Liberation Sans"/>
      </rPr>
      <t>4</t>
    </r>
  </si>
  <si>
    <t>HRD160/50</t>
  </si>
  <si>
    <r>
      <t xml:space="preserve">Tabletop STANDARD with 2 integrated basins, middle position 1605 mm (800 mm) </t>
    </r>
    <r>
      <rPr>
        <b/>
        <vertAlign val="superscript"/>
        <sz val="10"/>
        <color rgb="FFFF0000"/>
        <rFont val="Liberation Sans"/>
      </rPr>
      <t>4</t>
    </r>
  </si>
  <si>
    <t>CUSTOM PROGRAM:</t>
  </si>
  <si>
    <t>Tabletop depth 400...500 mm</t>
  </si>
  <si>
    <t>XS100/50</t>
  </si>
  <si>
    <t>XS140/50</t>
  </si>
  <si>
    <t>XS180/50</t>
  </si>
  <si>
    <t>XS220/50</t>
  </si>
  <si>
    <t>XS260/50</t>
  </si>
  <si>
    <t>XS300/50</t>
  </si>
  <si>
    <t>Tabletop depth 501...610 mm</t>
  </si>
  <si>
    <t>XS100/60</t>
  </si>
  <si>
    <t>XS140/60</t>
  </si>
  <si>
    <t>XS180/60</t>
  </si>
  <si>
    <t>XS220/60</t>
  </si>
  <si>
    <t>XS260/60</t>
  </si>
  <si>
    <t>XS300/60</t>
  </si>
  <si>
    <t>OPTIONAL ACCESSORIES:</t>
  </si>
  <si>
    <t>LR</t>
  </si>
  <si>
    <t>Basin large rectangular (50*32 cm). Free positioning for custom program</t>
  </si>
  <si>
    <t>SR</t>
  </si>
  <si>
    <t>Basin small rectangular (48*26,5 cm). Free positioning for custom program</t>
  </si>
  <si>
    <t>XR</t>
  </si>
  <si>
    <t>Basin extra large rectangular (55*40 cm). Free positioning for custom program</t>
  </si>
  <si>
    <t>O</t>
  </si>
  <si>
    <t>Basin oval shape (50*32 cm). Free positioning for custom program</t>
  </si>
  <si>
    <t>C</t>
  </si>
  <si>
    <t>Basin circle shape (Ø 40 cm). Free positioning for custom program</t>
  </si>
  <si>
    <t>D1</t>
  </si>
  <si>
    <t>Basin drain with non-closable drain cap (chromed brass). Without overflow</t>
  </si>
  <si>
    <t>D2</t>
  </si>
  <si>
    <t>Basin drain (PVC) with non-closable Xonyx-coated drain cap (without overflow)</t>
  </si>
  <si>
    <t>D3</t>
  </si>
  <si>
    <t>Basin drain (chromed brass) with closable drain cap and overflow (chromed ABS)</t>
  </si>
  <si>
    <t>S01</t>
  </si>
  <si>
    <t>Decorative siphon (brass chome finish)</t>
  </si>
  <si>
    <t>S02</t>
  </si>
  <si>
    <t>Lowered siphon, PVC grey</t>
  </si>
  <si>
    <t>TB</t>
  </si>
  <si>
    <t>Integrated towelbar - polished stainless steel</t>
  </si>
  <si>
    <t>TPD</t>
  </si>
  <si>
    <t>Integrated tissue paper dispenser chrome finish</t>
  </si>
  <si>
    <t>Notes (superscripts):</t>
  </si>
  <si>
    <r>
      <rPr>
        <b/>
        <vertAlign val="superscript"/>
        <sz val="10"/>
        <color rgb="FFFF0000"/>
        <rFont val="Liberation Sans"/>
      </rPr>
      <t>1</t>
    </r>
    <r>
      <rPr>
        <sz val="10"/>
        <color rgb="FF000000"/>
        <rFont val="Liberation Sans"/>
      </rPr>
      <t xml:space="preserve"> – Precise tabletop lenght/depth in mm needs to be specified according to parameter value range (ie. 601...800 mm)</t>
    </r>
  </si>
  <si>
    <r>
      <rPr>
        <b/>
        <vertAlign val="superscript"/>
        <sz val="10"/>
        <color rgb="FFFF0000"/>
        <rFont val="Liberation Sans"/>
      </rPr>
      <t>2</t>
    </r>
    <r>
      <rPr>
        <sz val="10"/>
        <color rgb="FF000000"/>
        <rFont val="Liberation Sans"/>
      </rPr>
      <t xml:space="preserve"> – Tabletop price only, basin price (according to quantity needed) to be added</t>
    </r>
  </si>
  <si>
    <r>
      <rPr>
        <b/>
        <vertAlign val="superscript"/>
        <sz val="10"/>
        <color rgb="FFFF0000"/>
        <rFont val="Liberation Sans"/>
      </rPr>
      <t>3</t>
    </r>
    <r>
      <rPr>
        <sz val="10"/>
        <color rgb="FF000000"/>
        <rFont val="Liberation Sans"/>
      </rPr>
      <t xml:space="preserve"> – Basin distance from edge (in brackets)</t>
    </r>
  </si>
  <si>
    <r>
      <rPr>
        <b/>
        <vertAlign val="superscript"/>
        <sz val="10"/>
        <color rgb="FFFF0000"/>
        <rFont val="Liberation Sans"/>
      </rPr>
      <t>4</t>
    </r>
    <r>
      <rPr>
        <sz val="10"/>
        <color rgb="FF000000"/>
        <rFont val="Liberation Sans"/>
      </rPr>
      <t xml:space="preserve"> – Distance between basin centers (in brackets)</t>
    </r>
  </si>
  <si>
    <r>
      <rPr>
        <b/>
        <vertAlign val="superscript"/>
        <sz val="10"/>
        <color rgb="FFFF0000"/>
        <rFont val="Liberation Sans"/>
      </rPr>
      <t>5</t>
    </r>
    <r>
      <rPr>
        <sz val="10"/>
        <color rgb="FF000000"/>
        <rFont val="Liberation Sans"/>
      </rPr>
      <t xml:space="preserve"> – Measuring drawing for basin(s) positioning is required</t>
    </r>
  </si>
  <si>
    <t>Notes 2 (pricing):</t>
  </si>
  <si>
    <t>All prices in EUR (ExWorks factory), exclusive VAT</t>
  </si>
  <si>
    <t>Special transport packing charges may apply</t>
  </si>
  <si>
    <t>Discount plan:</t>
  </si>
  <si>
    <t>-3% - Order/shipment over 5000 EUR</t>
  </si>
  <si>
    <t>-6% - Order/shipment over 10 000 EUR</t>
  </si>
  <si>
    <t>-9% - Order/shipment over 15 000 EUR</t>
  </si>
  <si>
    <t>-12% - Order/shipment over 20 000 EUR</t>
  </si>
  <si>
    <t>-15% - Order/shipment over 25 000 EUR</t>
  </si>
  <si>
    <t>Valitse yksi</t>
  </si>
  <si>
    <t>Standard allastaso</t>
  </si>
  <si>
    <t>Custom allastaso</t>
  </si>
  <si>
    <t>Altaan malli</t>
  </si>
  <si>
    <t>Altaiden määrä</t>
  </si>
  <si>
    <t>Valitse pudotusvalikosta</t>
  </si>
  <si>
    <t>Hinta yhteensä</t>
  </si>
  <si>
    <t>Määritä leveys mm</t>
  </si>
  <si>
    <t>Määrity syvyys mm</t>
  </si>
  <si>
    <t>Määritä korkeus mm</t>
  </si>
  <si>
    <t>Sulkeutumaton pohjaventtiili keraamisella suojalla, ilman ylivuotoa</t>
  </si>
  <si>
    <t>Sulkeutumaton pohjaventtiili kromi, ilman ylivuotoa</t>
  </si>
  <si>
    <t>Vesilukko</t>
  </si>
  <si>
    <t>Vesilukko kromi</t>
  </si>
  <si>
    <t>Pyyhetanko</t>
  </si>
  <si>
    <t>Paperiteline</t>
  </si>
  <si>
    <t>Määritä määrä kpl</t>
  </si>
  <si>
    <t>Pohjaventtiili</t>
  </si>
  <si>
    <t>Kannakkeet</t>
  </si>
  <si>
    <t>Rectangular Small</t>
  </si>
  <si>
    <t>Altaiden sijoittelu</t>
  </si>
  <si>
    <t>1 allas keskellä</t>
  </si>
  <si>
    <t>1 allas vasemmalla</t>
  </si>
  <si>
    <t>1 allas oikealla</t>
  </si>
  <si>
    <t>2 allasta keskellä</t>
  </si>
  <si>
    <t>Valitse pudotusvalikosta (Määrä tulee altaiden mukaan)</t>
  </si>
  <si>
    <t>Valitse pudotusvalikosta  (Määrä tulee altaiden mukaan)</t>
  </si>
  <si>
    <t>1 allas sivulla</t>
  </si>
  <si>
    <t>901-1000 mm</t>
  </si>
  <si>
    <t>1001-1200 mm</t>
  </si>
  <si>
    <t>1201-1400 mm</t>
  </si>
  <si>
    <t>1401-1600 mm</t>
  </si>
  <si>
    <t>1601-1800 mm</t>
  </si>
  <si>
    <t>1801-2000 mm</t>
  </si>
  <si>
    <t>1205 mm</t>
  </si>
  <si>
    <t>1405 mm</t>
  </si>
  <si>
    <t>1605 mm</t>
  </si>
  <si>
    <t>Suuntaa antava määrä altaan tietojen mukaan</t>
  </si>
  <si>
    <t>Standard altaiden tyypit</t>
  </si>
  <si>
    <t>Kannakkeet 1 allas keskellä</t>
  </si>
  <si>
    <t>Kannakkeet 1 allas sivulla</t>
  </si>
  <si>
    <t>Kannakkeet 2 allasta keskellä</t>
  </si>
  <si>
    <t>Syvyys aina 500 mm</t>
  </si>
  <si>
    <t>Netto ostohinta</t>
  </si>
  <si>
    <t>Kate 25%</t>
  </si>
  <si>
    <t>Määritä määrä kpl (1-5 riippuen tason mitoista)</t>
  </si>
  <si>
    <t>Valitse pudotusvalikosta (Määrä tulee altaiden määrän mukaan)</t>
  </si>
  <si>
    <t>Valitse pudotusvalikosta  (Määrä tulee altaiden määrän mukaan)</t>
  </si>
  <si>
    <t>Määrittele määrä kpl</t>
  </si>
  <si>
    <t>Kannakkeiden määrän voi halutessaan arvioida</t>
  </si>
  <si>
    <t>Reunat</t>
  </si>
  <si>
    <t>(Määrä tulee altaiden mukaan)</t>
  </si>
  <si>
    <t>Laskee automaattisesti</t>
  </si>
  <si>
    <t>Reunojen hinta etusivun laskentaa</t>
  </si>
  <si>
    <t>Reunan korkeus</t>
  </si>
  <si>
    <t>SA2</t>
  </si>
  <si>
    <t>Muodostuu automaattisesti yhdelle kappaleelle</t>
  </si>
  <si>
    <t>Packing charges:</t>
  </si>
  <si>
    <t>XXX</t>
  </si>
  <si>
    <t>Optimized secure transport pallet for multiple tabletops (for projects)</t>
  </si>
  <si>
    <t>Allastason ostohinta</t>
  </si>
  <si>
    <t>Reunojen ostohinta</t>
  </si>
  <si>
    <t>Pohjaventtiilien ostohinta</t>
  </si>
  <si>
    <t>Vesilukkojen ostohinta</t>
  </si>
  <si>
    <t>Kannakkeiden ostohinta</t>
  </si>
  <si>
    <t>Pyyhetankojen ostohinta</t>
  </si>
  <si>
    <t>Paperitelineiden ostohinta</t>
  </si>
  <si>
    <t>Lavan ostohinta</t>
  </si>
  <si>
    <t>ALV 0%</t>
  </si>
  <si>
    <t>Taso ostohinta</t>
  </si>
  <si>
    <t>Reunat ostohinta</t>
  </si>
  <si>
    <t>Altaat ostohinta</t>
  </si>
  <si>
    <t>Pohjaventtiilien  ostohinta</t>
  </si>
  <si>
    <t>Vesilukkojen  ostohinta</t>
  </si>
  <si>
    <t>Pyyhetankojen  ostohinta</t>
  </si>
  <si>
    <t>Paperitelineiden  ostohinta</t>
  </si>
  <si>
    <t>Kannakkeiden  ostohinta</t>
  </si>
  <si>
    <t>Lavan  ostohinta</t>
  </si>
  <si>
    <t>Allastason leveys</t>
  </si>
  <si>
    <t>Allastason syvyys</t>
  </si>
  <si>
    <t>XS120/50</t>
  </si>
  <si>
    <t>XS160/50</t>
  </si>
  <si>
    <t>XS200/50</t>
  </si>
  <si>
    <t>XS240/50</t>
  </si>
  <si>
    <t>XS280/50</t>
  </si>
  <si>
    <r>
      <t xml:space="preserve">Tabletop CUSTOM (no basin included), depth 400...500 mm, lenght 601…800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</si>
  <si>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801...1000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</si>
  <si>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1001...1200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</si>
  <si>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1201...1400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</si>
  <si>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1401...1600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</si>
  <si>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1601...1800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</si>
  <si>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1801...2000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</si>
  <si>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2001...2200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</si>
  <si>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2201...2400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</si>
  <si>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2401...2600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</si>
  <si>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2601…2800 mm </t>
    </r>
    <r>
      <rPr>
        <b/>
        <vertAlign val="superscript"/>
        <sz val="10"/>
        <color rgb="FFFF0000"/>
        <rFont val="Liberation Sans"/>
      </rPr>
      <t>5</t>
    </r>
  </si>
  <si>
    <r>
      <t xml:space="preserve">Tabletop CUSTOM (no basin included), depth 400...500 mm, lenght 2801...3000 mm </t>
    </r>
    <r>
      <rPr>
        <b/>
        <vertAlign val="superscript"/>
        <sz val="10"/>
        <color rgb="FFFF0000"/>
        <rFont val="Liberation Sans"/>
      </rPr>
      <t>5</t>
    </r>
  </si>
  <si>
    <t>1801-2000</t>
  </si>
  <si>
    <t>2201-2400</t>
  </si>
  <si>
    <t>2601-2800</t>
  </si>
  <si>
    <t>1601-1800</t>
  </si>
  <si>
    <t>2001-2200</t>
  </si>
  <si>
    <t>2401-2600</t>
  </si>
  <si>
    <t>2801-3000</t>
  </si>
  <si>
    <t>XS80/50</t>
  </si>
  <si>
    <t>XS80/60</t>
  </si>
  <si>
    <t>XS120/60</t>
  </si>
  <si>
    <t>XS160/60</t>
  </si>
  <si>
    <t>XS200/60</t>
  </si>
  <si>
    <t>XS240/60</t>
  </si>
  <si>
    <t>XS280/60</t>
  </si>
  <si>
    <t>Tabletop CUSTOM (no basin included), depth 501...610 mm, lenght 601…800 mm 5</t>
  </si>
  <si>
    <t>Tabletop CUSTOM (no basin included), depth 501...610 mm, lenght 801...1000 mm 5</t>
  </si>
  <si>
    <t>Tabletop CUSTOM (no basin included), depth 501...610 mm, lenght 1001...1200 mm 5</t>
  </si>
  <si>
    <t>Tabletop CUSTOM (no basin included), depth 501...610 mm, lenght 1201...1400 mm 5</t>
  </si>
  <si>
    <t>Tabletop CUSTOM (no basin included), depth 501...610 mm, lenght 1401...1600 mm 5</t>
  </si>
  <si>
    <t>Tabletop CUSTOM (no basin included), depth 501...610 mm, lenght 1601...1800 mm 5</t>
  </si>
  <si>
    <t>Tabletop CUSTOM (no basin included), depth 501...610 mm, lenght 1801...2000 mm 5</t>
  </si>
  <si>
    <t>Tabletop CUSTOM (no basin included), depth 501...610 mm, lenght 2001...2200 mm 5</t>
  </si>
  <si>
    <t>Tabletop CUSTOM (no basin included), depth 501...610 mm, lenght 2201...2400 mm 5</t>
  </si>
  <si>
    <t>Tabletop CUSTOM (no basin included), depth 501...610 mm, lenght 2401...2600 mm 5</t>
  </si>
  <si>
    <t>Tabletop CUSTOM (no basin included), depth 501...610 mm, lenght 2601…2800 mm 5</t>
  </si>
  <si>
    <t>Tabletop CUSTOM (no basin included), depth 501...610 mm, lenght 2801...3000 mm 5</t>
  </si>
  <si>
    <t>MH</t>
  </si>
  <si>
    <t>Hanareikä</t>
  </si>
  <si>
    <t>hanareiät altaisiin</t>
  </si>
  <si>
    <t>Hanareiät</t>
  </si>
  <si>
    <t>Hanareikien määrä</t>
  </si>
  <si>
    <t>Hanareikien ostohinta</t>
  </si>
  <si>
    <t>Hanareikä ostohinta</t>
  </si>
  <si>
    <t>ei reunoja</t>
  </si>
  <si>
    <t>ilman vesilukkoa</t>
  </si>
  <si>
    <t>ilman hanareikiä</t>
  </si>
  <si>
    <t>etureuna ja vasen sivureuna</t>
  </si>
  <si>
    <t>ylivuodolla, push-open pohjaventtiili kromi</t>
  </si>
  <si>
    <t>Tuotekoodien haku</t>
  </si>
  <si>
    <t>Standard</t>
  </si>
  <si>
    <t>&lt;- Vasen</t>
  </si>
  <si>
    <t>&lt;- Oikea</t>
  </si>
  <si>
    <t>Custom</t>
  </si>
  <si>
    <t>ilman allasta</t>
  </si>
  <si>
    <t>Allastason etureunat</t>
  </si>
  <si>
    <t>Etureunan korkeus</t>
  </si>
  <si>
    <t>Roiskesuojat</t>
  </si>
  <si>
    <t>Roiskesuojien ostohinta</t>
  </si>
  <si>
    <t>Lavan hinta</t>
  </si>
  <si>
    <t>Roiskesuojalevyt</t>
  </si>
  <si>
    <t>Roiskesuojalevyn korkeus</t>
  </si>
  <si>
    <t>Roiskesuojalevy</t>
  </si>
  <si>
    <t>Roiskesuojalevyn ostohinta</t>
  </si>
  <si>
    <t>Lava kuljetusta varten</t>
  </si>
  <si>
    <t>takareuna ja vasen sivureuna</t>
  </si>
  <si>
    <t>Pcs</t>
  </si>
  <si>
    <t>Code</t>
  </si>
  <si>
    <t>Description</t>
  </si>
  <si>
    <t>Kannakkeet (pari)</t>
  </si>
  <si>
    <t>vesilukko seinään kromi</t>
  </si>
  <si>
    <t>Rahti tehtaalta veloitetaan asiakkaalta erikseen, käytetään Baltecon ammeiden suoratoimitus rahtihinnastoa.</t>
  </si>
  <si>
    <t>Tason tilavuus</t>
  </si>
  <si>
    <t>Reunojen tilavuus</t>
  </si>
  <si>
    <t>Roiskesuojalevyjen tilavuus</t>
  </si>
  <si>
    <t>Paino kg/m2</t>
  </si>
  <si>
    <t>Paino yhteensä</t>
  </si>
  <si>
    <t>Painon laskenta Custom</t>
  </si>
  <si>
    <t>Painon laskenta Standard</t>
  </si>
  <si>
    <t>Pahvin paino</t>
  </si>
  <si>
    <t>Tuotteen paino</t>
  </si>
  <si>
    <t>Lavan paino</t>
  </si>
  <si>
    <t>taso 121-200 cm</t>
  </si>
  <si>
    <t>taso 201-300 cm</t>
  </si>
  <si>
    <t>taso alle 120 cm</t>
  </si>
  <si>
    <t>Lavojen painot</t>
  </si>
  <si>
    <t>Allastasossa täytyy olla vähintään 150 mm etureuna</t>
  </si>
  <si>
    <t>Reunan korkeus
30-200 mm</t>
  </si>
  <si>
    <t>Reunan korkeus
30-150 mm</t>
  </si>
  <si>
    <t>Allatason leveys
600-3000 mm</t>
  </si>
  <si>
    <t>Allatason syvyys
400-610 mm</t>
  </si>
  <si>
    <t>Altaiden määrä
KPL</t>
  </si>
  <si>
    <t>Hanareiät altaisiin
kyllä/ei</t>
  </si>
  <si>
    <t>Pyyhetankojen määrä
KPL</t>
  </si>
  <si>
    <t>Paperitelineiden määrä
KPL</t>
  </si>
  <si>
    <t>Kannakkeiden määrän voi halutessaan arvioida pari sisältää 2 kpl</t>
  </si>
  <si>
    <t>TS</t>
  </si>
  <si>
    <t>Towelbar cutout (60*400 mm)</t>
  </si>
  <si>
    <t>Secure transport pallet for single tabletop delivery</t>
  </si>
  <si>
    <t>Paperitelineiden määrä
Pari</t>
  </si>
  <si>
    <t>Pyyhetanko (leikattu)</t>
  </si>
  <si>
    <t>Pyyhetanko (leikattu) osto</t>
  </si>
  <si>
    <t>D4</t>
  </si>
  <si>
    <t>Basin drain with closable Xonyx coated cap. Without overflow</t>
  </si>
  <si>
    <t>WR</t>
  </si>
  <si>
    <t>DR</t>
  </si>
  <si>
    <t>Basin wide rectangular (64*32 cm). Free positioning for custom program</t>
  </si>
  <si>
    <t>Basin double wide rectangular (105*32 cm). Free positioning for custom program</t>
  </si>
  <si>
    <t>suorakaide L 50x32 cm (LR)</t>
  </si>
  <si>
    <t>suorakaide S 48x26 cm (SR)</t>
  </si>
  <si>
    <t>suorakaide XL 55x40 cm (XR)</t>
  </si>
  <si>
    <t>suorakaide W 54x32 cm (WR)</t>
  </si>
  <si>
    <t>suorakaide D 105x32 cm (DR)</t>
  </si>
  <si>
    <t>soikea 50x32 cm (O)</t>
  </si>
  <si>
    <t>pyöreä Ø 40 cm (C)</t>
  </si>
  <si>
    <t>GH</t>
  </si>
  <si>
    <t>DH</t>
  </si>
  <si>
    <t>Mixer hole drilling (Ø 35 mm), price per hole</t>
  </si>
  <si>
    <t>hanareikä Ø 35 mm</t>
  </si>
  <si>
    <t>Roskakorin aukko</t>
  </si>
  <si>
    <t>Roskakorin aukkojen osto</t>
  </si>
  <si>
    <t>Balteco Custom Xonyx mittatilaus allastasojen hintalaskuri</t>
  </si>
  <si>
    <t>Tuotteen paino yhteensä</t>
  </si>
  <si>
    <t>Tuote + lava yhteensä</t>
  </si>
  <si>
    <t>etureuna (FS)</t>
  </si>
  <si>
    <t>etureuna ja vasen sivureuna (FLS)</t>
  </si>
  <si>
    <t>etureuna ja oikea sivureuna (FRS)</t>
  </si>
  <si>
    <t>etureuna ja molemmat sivureunat (FLRS)</t>
  </si>
  <si>
    <t>ilman ylivuotoa, sulkeutumaton pohjaventtiili kromi (D1)</t>
  </si>
  <si>
    <t>ilman ylivuotoa, sulkeutumaton pohjaventtiili keraamisella suojalla (D2)</t>
  </si>
  <si>
    <t>ilman ylivuotoa, push-open pohjaventtiili keraamisella suojalla (D4)</t>
  </si>
  <si>
    <t>ylivuodolla, push-open pohjaventtiili keraamisella suojalla</t>
  </si>
  <si>
    <t>D5</t>
  </si>
  <si>
    <t>D6</t>
  </si>
  <si>
    <t>Overflow set (chromed ABS plastic). Without draining sytem</t>
  </si>
  <si>
    <t>Basin drain with closable Xonyx-coated cap (D4) and slot overflow (only for LR, SR, XR, WR, DR basin)</t>
  </si>
  <si>
    <t>ylivuodolla, ilman pohjaventtiiliä</t>
  </si>
  <si>
    <t>SA3</t>
  </si>
  <si>
    <t>SA1</t>
  </si>
  <si>
    <t>Support arm 400x150 mm, set of 2 (left+right)</t>
  </si>
  <si>
    <t>Support arm 400x200 mm, set of 2 (left+right)</t>
  </si>
  <si>
    <t>Support arm 480x200 mm, set of 2 (left+right)</t>
  </si>
  <si>
    <t>L1</t>
  </si>
  <si>
    <t>Wall support bar 400 mm</t>
  </si>
  <si>
    <t>Kulmarauta 400 mm</t>
  </si>
  <si>
    <t>takareuna (BB)</t>
  </si>
  <si>
    <t>takareuna ja vasen sivureuna (BLB)</t>
  </si>
  <si>
    <t>takareuna ja oikea sivureuna (BRB)</t>
  </si>
  <si>
    <t>takareuna ja molemmat sivureunat (BLRB)</t>
  </si>
  <si>
    <t>hanareiät altaisiin Ø 35 mm (MH)</t>
  </si>
  <si>
    <t>roskakorin reikä Ø 150 mm (GH)</t>
  </si>
  <si>
    <t>ilman roskakorin reikää</t>
  </si>
  <si>
    <t>viemäröinti reikä tasoon Ø 120 mm (DH)</t>
  </si>
  <si>
    <t>ilman viemäröinti reikää tasoon</t>
  </si>
  <si>
    <t>Viemäröinti reikä</t>
  </si>
  <si>
    <t>Viemäröinti reikä tasoon
KPL</t>
  </si>
  <si>
    <t>ilman kannakkeita</t>
  </si>
  <si>
    <t>SA4</t>
  </si>
  <si>
    <t>Support arm 480x200x30 mm, set of 2 (left+right)</t>
  </si>
  <si>
    <t>Suositeltu kannakkeiden määrä</t>
  </si>
  <si>
    <t>pyyhetanko leikattu (TS)</t>
  </si>
  <si>
    <t>paperiteline (TPD)</t>
  </si>
  <si>
    <t>pyyhetanko (TB)</t>
  </si>
  <si>
    <t>ilman pyyhetankoa</t>
  </si>
  <si>
    <t>Määrä</t>
  </si>
  <si>
    <t>Määrittyy altaiden mukaan</t>
  </si>
  <si>
    <t>ilman paperitelinettä</t>
  </si>
  <si>
    <t>Roskakorin aukko
KPL</t>
  </si>
  <si>
    <t>Viemäröinti reikien osto</t>
  </si>
  <si>
    <t>Garbage bin hole on the tabletop (Ø 150 mm), finished edges</t>
  </si>
  <si>
    <t>Drainage hole for countertop basin on XTP tabletop (Ø 120 mm)</t>
  </si>
  <si>
    <t>Viemäröinti reikä tason päälle asennettavia altaita varten</t>
  </si>
  <si>
    <t>vesilukko seinään kromi (S01)</t>
  </si>
  <si>
    <t>vesilukko seinään harmaa muovi (S02)</t>
  </si>
  <si>
    <t>Ominaisuudet kootusti:</t>
  </si>
  <si>
    <t>Arvio kannakeparien määärästä
Pari</t>
  </si>
  <si>
    <t>ilman pohjaventtiiliä</t>
  </si>
  <si>
    <t>Kannakkeet 400x150 mm 2 kpl (SA1)</t>
  </si>
  <si>
    <t>Kannakkeet 400x200 mm 2 kpl (SA2)</t>
  </si>
  <si>
    <t>Kannakkeet 480x200 mm 2 kpl (SA3)</t>
  </si>
  <si>
    <t>Kannakkeet 480x200x30 mm 2 kpl (SA4)</t>
  </si>
  <si>
    <t>Allastason SVH 25,5%</t>
  </si>
  <si>
    <t>Reunojen SVH 25,5%</t>
  </si>
  <si>
    <t>Pohjaventtiilien SVH 25,5%</t>
  </si>
  <si>
    <t>Vesilukkojen SVH 25,5%</t>
  </si>
  <si>
    <t>Kannakkeiden SVH 25,5%</t>
  </si>
  <si>
    <t>Pyyhetankojen SVH 25,5%</t>
  </si>
  <si>
    <t>Paperitelineiden SVH 25,5%</t>
  </si>
  <si>
    <t>Lavan SVH 25,5%</t>
  </si>
  <si>
    <t>Hanareikien SVH 25,5%</t>
  </si>
  <si>
    <t>Roiskesuojien SVH 25,5%</t>
  </si>
  <si>
    <t>Pyyhetanko (leikattu) SVH 25,5%</t>
  </si>
  <si>
    <t>SVH 25,5%</t>
  </si>
  <si>
    <t>Taso SVH 25,5%</t>
  </si>
  <si>
    <t>Reunat SVH 25,5%</t>
  </si>
  <si>
    <t>Altaat SVH 25,5%</t>
  </si>
  <si>
    <t>Pohjaventtiilien  SVH 25,5%</t>
  </si>
  <si>
    <t>Vesilukkojen  SVH 25,5%</t>
  </si>
  <si>
    <t>Pyyhetankojen  SVH 25,5%</t>
  </si>
  <si>
    <t>Paperitelineiden  SVH 25,5%</t>
  </si>
  <si>
    <t>Kannakkeiden  SVH 25,5%</t>
  </si>
  <si>
    <t>Lavan  SVH 25,5%</t>
  </si>
  <si>
    <t>Hanareikä SVH 25,5%</t>
  </si>
  <si>
    <t>Roiskesuojalevyn SVH 25,5%</t>
  </si>
  <si>
    <t>Roskakorin aukkojen SVH 25,5%</t>
  </si>
  <si>
    <t>Viemäröinti reikien SVH 25,5%</t>
  </si>
  <si>
    <t>Altaiden SVH 25,5%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</si>
</sst>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B]"/>
    <numFmt numFmtId="165" formatCode="#,##0.00\ &quot;€&quot;"/>
    <numFmt numFmtId="166" formatCode="#,##0.00\ [$€-40B]"/>
  </numFmts>
  <fonts count="15">
    <font>
      <sz val="11"/>
      <color theme="1"/>
      <name val="Calibri"/>
      <family val="2"/>
      <scheme val="minor"/>
    </font>
    <font>
      <sz val="10"/>
      <color rgb="FF000000"/>
      <name val="Liberation Sans"/>
    </font>
    <font>
      <vertAlign val="superscript"/>
      <sz val="10"/>
      <color rgb="FFFF0000"/>
      <name val="Liberation Sans"/>
    </font>
    <font>
      <b/>
      <vertAlign val="superscript"/>
      <sz val="10"/>
      <color rgb="FFFF0000"/>
      <name val="Liberation Sans"/>
    </font>
    <font>
      <b/>
      <sz val="11"/>
      <color rgb="FF000000"/>
      <name val="Liberation Sans"/>
    </font>
    <font>
      <b/>
      <sz val="11"/>
      <color theme="1"/>
      <name val="Calibri"/>
      <family val="2"/>
      <scheme val="minor"/>
    </font>
    <font>
      <b/>
      <sz val="14"/>
      <color rgb="FF000000"/>
      <name val="Liberation Sans"/>
    </font>
    <font>
      <sz val="8"/>
      <name val="Calibri"/>
      <family val="2"/>
      <scheme val="minor"/>
    </font>
    <font>
      <sz val="11"/>
      <color rgb="FF000000"/>
      <name val="Liberation Sans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Liberation Sans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8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0" xfId="0" applyNumberFormat="1"/>
    <xf numFmtId="164" fontId="1" fillId="0" borderId="2" xfId="0" applyNumberFormat="1" applyFont="1" applyBorder="1"/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2" borderId="2" xfId="0" applyFont="1" applyFill="1" applyBorder="1"/>
    <xf numFmtId="0" fontId="1" fillId="2" borderId="7" xfId="0" applyFont="1" applyFill="1" applyBorder="1"/>
    <xf numFmtId="16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0" borderId="1" xfId="0" applyFont="1" applyBorder="1"/>
    <xf numFmtId="166" fontId="0" fillId="0" borderId="0" xfId="0" applyNumberFormat="1" applyAlignment="1">
      <alignment horizontal="center" vertical="center"/>
    </xf>
    <xf numFmtId="0" fontId="1" fillId="0" borderId="20" xfId="0" applyFont="1" applyBorder="1"/>
    <xf numFmtId="0" fontId="11" fillId="0" borderId="20" xfId="0" applyFont="1" applyBorder="1"/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2" fontId="5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6" fontId="0" fillId="0" borderId="0" xfId="0" applyNumberFormat="1"/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2" fontId="0" fillId="0" borderId="25" xfId="0" applyNumberForma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2" fontId="0" fillId="0" borderId="27" xfId="0" applyNumberFormat="1" applyBorder="1" applyAlignment="1">
      <alignment horizontal="center" vertical="center"/>
    </xf>
    <xf numFmtId="0" fontId="0" fillId="0" borderId="28" xfId="0" applyBorder="1"/>
    <xf numFmtId="0" fontId="1" fillId="2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7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11" fillId="0" borderId="0" xfId="0" applyFont="1"/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33" xfId="0" applyNumberFormat="1" applyFont="1" applyBorder="1"/>
    <xf numFmtId="164" fontId="1" fillId="2" borderId="33" xfId="0" applyNumberFormat="1" applyFont="1" applyFill="1" applyBorder="1"/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0" fillId="0" borderId="11" xfId="0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/>
      <protection hidden="1"/>
    </xf>
    <xf numFmtId="2" fontId="5" fillId="0" borderId="9" xfId="0" applyNumberFormat="1" applyFon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 wrapText="1"/>
      <protection hidden="1"/>
    </xf>
    <xf numFmtId="2" fontId="0" fillId="0" borderId="6" xfId="0" applyNumberFormat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5" fillId="0" borderId="19" xfId="0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2" fontId="5" fillId="0" borderId="10" xfId="0" applyNumberFormat="1" applyFont="1" applyBorder="1" applyAlignment="1" applyProtection="1">
      <alignment horizontal="center" vertical="center"/>
      <protection hidden="1"/>
    </xf>
    <xf numFmtId="2" fontId="5" fillId="0" borderId="12" xfId="0" applyNumberFormat="1" applyFont="1" applyBorder="1" applyAlignment="1" applyProtection="1">
      <alignment horizontal="center" vertical="center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13" fillId="4" borderId="8" xfId="0" applyFont="1" applyFill="1" applyBorder="1" applyAlignment="1" applyProtection="1">
      <alignment horizontal="center" vertical="center" wrapText="1"/>
      <protection hidden="1"/>
    </xf>
    <xf numFmtId="0" fontId="13" fillId="4" borderId="8" xfId="0" applyFont="1" applyFill="1" applyBorder="1" applyAlignment="1" applyProtection="1">
      <alignment horizontal="center" vertical="center"/>
      <protection hidden="1"/>
    </xf>
    <xf numFmtId="164" fontId="13" fillId="5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3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13" fillId="0" borderId="10" xfId="0" applyFont="1" applyBorder="1" applyAlignment="1" applyProtection="1">
      <alignment horizontal="center" vertical="center" wrapText="1"/>
      <protection locked="0"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0" fillId="0" borderId="39" xfId="0" applyBorder="1" applyAlignment="1" applyProtection="1">
      <alignment horizontal="center" vertical="center" wrapText="1"/>
      <protection locked="0" hidden="1"/>
    </xf>
    <xf numFmtId="0" fontId="0" fillId="0" borderId="21" xfId="0" applyBorder="1" applyAlignment="1" applyProtection="1">
      <alignment horizontal="center" vertical="center" wrapText="1"/>
      <protection locked="0"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13" fillId="0" borderId="24" xfId="0" applyFont="1" applyBorder="1" applyAlignment="1" applyProtection="1">
      <alignment horizontal="center" vertical="center" wrapText="1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2" fontId="0" fillId="0" borderId="32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5" fillId="0" borderId="29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2" fontId="0" fillId="0" borderId="38" xfId="0" applyNumberForma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/>
      <protection hidden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</cellXfs>
  <cellStyles count="1">
    <cellStyle name="Normaali" xfId="0" builtinId="0"/>
  </cellStyles>
  <dxfs count="7"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9FED-A74A-45F5-8914-F03275E3C382}">
  <sheetPr codeName="Taul1"/>
  <dimension ref="A1:S64"/>
  <sheetViews>
    <sheetView tabSelected="1" zoomScaleNormal="100" workbookViewId="0">
      <selection activeCell="G34" sqref="G34"/>
    </sheetView>
  </sheetViews>
  <sheetFormatPr defaultRowHeight="15"/>
  <cols>
    <col min="1" max="1" width="22.42578125" style="76" customWidth="1"/>
    <col min="2" max="2" width="23.28515625" style="76" customWidth="1"/>
    <col min="3" max="3" width="26.28515625" style="76" customWidth="1"/>
    <col min="4" max="4" width="23" style="76" customWidth="1"/>
    <col min="5" max="5" width="34.42578125" style="76" bestFit="1" customWidth="1"/>
    <col min="6" max="6" width="37" style="76" bestFit="1" customWidth="1"/>
    <col min="7" max="8" width="28.5703125" style="76" customWidth="1"/>
    <col min="9" max="9" width="30.5703125" style="76" bestFit="1" customWidth="1"/>
    <col min="10" max="10" width="34" style="76" customWidth="1"/>
    <col min="11" max="11" width="22.85546875" style="76" customWidth="1"/>
    <col min="12" max="12" width="26" style="76" customWidth="1"/>
    <col min="13" max="13" width="26.28515625" style="76" customWidth="1"/>
    <col min="14" max="14" width="24.42578125" style="76" bestFit="1" customWidth="1"/>
    <col min="15" max="15" width="22.7109375" style="76" bestFit="1" customWidth="1"/>
    <col min="16" max="16" width="27.85546875" style="76" bestFit="1" customWidth="1"/>
    <col min="17" max="17" width="9.140625" style="76"/>
    <col min="18" max="18" width="20.5703125" style="76" bestFit="1" customWidth="1"/>
    <col min="19" max="16384" width="9.140625" style="76"/>
  </cols>
  <sheetData>
    <row r="1" spans="1:15" ht="28.5">
      <c r="A1" s="142" t="s">
        <v>329</v>
      </c>
      <c r="B1" s="142"/>
      <c r="C1" s="142"/>
      <c r="D1" s="142"/>
      <c r="E1" s="142"/>
      <c r="F1" s="142"/>
      <c r="G1" s="142"/>
      <c r="H1" s="142"/>
      <c r="I1" s="142"/>
      <c r="J1" s="105"/>
      <c r="K1" s="105"/>
    </row>
    <row r="2" spans="1:15" ht="15.75" thickBot="1"/>
    <row r="3" spans="1:15" ht="15.75" hidden="1">
      <c r="A3" s="106" t="s">
        <v>279</v>
      </c>
    </row>
    <row r="4" spans="1:15" ht="15.75" hidden="1" thickBot="1"/>
    <row r="5" spans="1:15" ht="45.75" hidden="1" thickBot="1">
      <c r="A5" s="150" t="s">
        <v>123</v>
      </c>
      <c r="B5" s="151"/>
      <c r="C5" s="97"/>
      <c r="D5" s="107"/>
      <c r="E5" s="108"/>
      <c r="F5" s="107"/>
      <c r="G5" s="108"/>
      <c r="H5" s="108" t="s">
        <v>173</v>
      </c>
      <c r="I5" s="108" t="s">
        <v>173</v>
      </c>
      <c r="J5" s="108" t="s">
        <v>173</v>
      </c>
      <c r="K5" s="108"/>
      <c r="L5" s="108" t="s">
        <v>294</v>
      </c>
      <c r="M5" s="108" t="s">
        <v>294</v>
      </c>
      <c r="N5" s="108" t="s">
        <v>294</v>
      </c>
    </row>
    <row r="6" spans="1:15" ht="38.25" hidden="1">
      <c r="A6" s="109" t="s">
        <v>127</v>
      </c>
      <c r="B6" s="110" t="str">
        <f>IF(A8=Laskenta!N57,"Allastason leveys 600-1600 mm",IF(OR(A8=Laskenta!N58,A8=Laskenta!N59),"Allastason leveys 900-2000 mm",IF(A8=Laskenta!N60,"Allastason leveys 1205/1405/1605 mm","Valitse altaan sijoittelu")))</f>
        <v>Allastason leveys 900-2000 mm</v>
      </c>
      <c r="C6" s="111" t="s">
        <v>164</v>
      </c>
      <c r="D6" s="111" t="s">
        <v>127</v>
      </c>
      <c r="E6" s="110" t="s">
        <v>295</v>
      </c>
      <c r="F6" s="111" t="s">
        <v>127</v>
      </c>
      <c r="G6" s="110" t="s">
        <v>296</v>
      </c>
      <c r="H6" s="110" t="s">
        <v>300</v>
      </c>
      <c r="I6" s="111" t="s">
        <v>127</v>
      </c>
      <c r="J6" s="111" t="s">
        <v>127</v>
      </c>
      <c r="K6" s="110" t="s">
        <v>174</v>
      </c>
      <c r="L6" s="110" t="s">
        <v>301</v>
      </c>
      <c r="M6" s="110" t="s">
        <v>301</v>
      </c>
      <c r="N6" s="110" t="s">
        <v>307</v>
      </c>
      <c r="O6" s="112" t="s">
        <v>178</v>
      </c>
    </row>
    <row r="7" spans="1:15" hidden="1">
      <c r="A7" s="113" t="s">
        <v>142</v>
      </c>
      <c r="B7" s="102" t="s">
        <v>200</v>
      </c>
      <c r="C7" s="102" t="s">
        <v>201</v>
      </c>
      <c r="D7" s="102" t="s">
        <v>263</v>
      </c>
      <c r="E7" s="102" t="s">
        <v>264</v>
      </c>
      <c r="F7" s="102" t="s">
        <v>268</v>
      </c>
      <c r="G7" s="102" t="s">
        <v>269</v>
      </c>
      <c r="H7" s="102" t="s">
        <v>246</v>
      </c>
      <c r="I7" s="102" t="s">
        <v>139</v>
      </c>
      <c r="J7" s="102" t="s">
        <v>134</v>
      </c>
      <c r="K7" s="102" t="s">
        <v>277</v>
      </c>
      <c r="L7" s="102" t="s">
        <v>136</v>
      </c>
      <c r="M7" s="102" t="s">
        <v>308</v>
      </c>
      <c r="N7" s="102" t="s">
        <v>137</v>
      </c>
      <c r="O7" s="114" t="s">
        <v>272</v>
      </c>
    </row>
    <row r="8" spans="1:15" ht="30.75" hidden="1" thickBot="1">
      <c r="A8" s="80" t="s">
        <v>145</v>
      </c>
      <c r="B8" s="90">
        <v>2000</v>
      </c>
      <c r="C8" s="90">
        <v>500</v>
      </c>
      <c r="D8" s="115" t="s">
        <v>255</v>
      </c>
      <c r="E8" s="90">
        <v>150</v>
      </c>
      <c r="F8" s="115" t="s">
        <v>273</v>
      </c>
      <c r="G8" s="90">
        <v>200</v>
      </c>
      <c r="H8" s="90" t="s">
        <v>247</v>
      </c>
      <c r="I8" s="115" t="s">
        <v>256</v>
      </c>
      <c r="J8" s="90" t="s">
        <v>278</v>
      </c>
      <c r="K8" s="90">
        <f>Laskenta!U4</f>
        <v>3</v>
      </c>
      <c r="L8" s="90">
        <v>1</v>
      </c>
      <c r="M8" s="90">
        <v>1</v>
      </c>
      <c r="N8" s="90">
        <v>1</v>
      </c>
      <c r="O8" s="116"/>
    </row>
    <row r="9" spans="1:15" hidden="1">
      <c r="A9" s="143" t="s">
        <v>389</v>
      </c>
      <c r="B9" s="156"/>
      <c r="C9" s="144"/>
      <c r="D9" s="143" t="s">
        <v>390</v>
      </c>
      <c r="E9" s="144"/>
      <c r="F9" s="143" t="s">
        <v>398</v>
      </c>
      <c r="G9" s="144"/>
      <c r="H9" s="117" t="s">
        <v>397</v>
      </c>
      <c r="I9" s="118" t="s">
        <v>391</v>
      </c>
      <c r="J9" s="118" t="s">
        <v>392</v>
      </c>
      <c r="K9" s="118" t="s">
        <v>393</v>
      </c>
      <c r="L9" s="118" t="s">
        <v>394</v>
      </c>
      <c r="M9" s="118" t="s">
        <v>394</v>
      </c>
      <c r="N9" s="118" t="s">
        <v>395</v>
      </c>
      <c r="O9" s="118" t="s">
        <v>396</v>
      </c>
    </row>
    <row r="10" spans="1:15" hidden="1">
      <c r="A10" s="139">
        <f>Laskenta!N19</f>
        <v>731.53079999999989</v>
      </c>
      <c r="B10" s="154"/>
      <c r="C10" s="140"/>
      <c r="D10" s="139" t="str">
        <f>Laskenta!Q19</f>
        <v>Ei määrämitoissa</v>
      </c>
      <c r="E10" s="140"/>
      <c r="F10" s="139" t="str">
        <f>Laskenta!Z19</f>
        <v>Ei määrämitoissa</v>
      </c>
      <c r="G10" s="140"/>
      <c r="H10" s="91">
        <f>Laskenta!Y19</f>
        <v>0</v>
      </c>
      <c r="I10" s="91">
        <f>Laskenta!S19</f>
        <v>104.13899999999998</v>
      </c>
      <c r="J10" s="91" t="e">
        <f>Laskenta!T19</f>
        <v>#VALUE!</v>
      </c>
      <c r="K10" s="91">
        <f>Laskenta!U19</f>
        <v>131.54400000000001</v>
      </c>
      <c r="L10" s="91">
        <f>Laskenta!V19</f>
        <v>98.658000000000001</v>
      </c>
      <c r="M10" s="91">
        <f>Laskenta!AA19</f>
        <v>41.107499999999995</v>
      </c>
      <c r="N10" s="91">
        <f>Laskenta!W19</f>
        <v>194.57550000000001</v>
      </c>
      <c r="O10" s="92">
        <f>Laskenta!X19</f>
        <v>109.61999999999999</v>
      </c>
    </row>
    <row r="11" spans="1:15" hidden="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5" ht="15.75" hidden="1" thickBot="1">
      <c r="A12" s="97"/>
      <c r="B12" s="97"/>
      <c r="C12" s="97"/>
      <c r="D12" s="97"/>
      <c r="E12" s="97"/>
      <c r="F12" s="96"/>
      <c r="G12" s="97"/>
      <c r="H12" s="97"/>
      <c r="I12" s="97"/>
      <c r="J12" s="97"/>
    </row>
    <row r="13" spans="1:15" ht="19.5" hidden="1" thickBot="1">
      <c r="A13" s="97"/>
      <c r="B13" s="148" t="s">
        <v>128</v>
      </c>
      <c r="C13" s="149"/>
      <c r="D13" s="97"/>
      <c r="E13" s="78" t="s">
        <v>288</v>
      </c>
      <c r="F13" s="79" t="s">
        <v>289</v>
      </c>
      <c r="G13" s="97"/>
      <c r="H13" s="97"/>
      <c r="I13" s="97"/>
    </row>
    <row r="14" spans="1:15" ht="15.75" hidden="1" thickBot="1">
      <c r="A14" s="97"/>
      <c r="B14" s="73" t="e">
        <f>C14/1.24</f>
        <v>#VALUE!</v>
      </c>
      <c r="C14" s="74" t="e">
        <f>Laskenta!R23</f>
        <v>#VALUE!</v>
      </c>
      <c r="D14" s="97"/>
      <c r="E14" s="80" t="str">
        <f>_xlfn.CONCAT(Laskenta!Y23&amp;" kg")</f>
        <v>30 kg</v>
      </c>
      <c r="F14" s="93" t="str">
        <f>_xlfn.CONCAT(Laskenta!Z23&amp;" kg")</f>
        <v>35 kg</v>
      </c>
      <c r="G14" s="97"/>
      <c r="H14" s="97"/>
      <c r="I14" s="97"/>
    </row>
    <row r="15" spans="1:15" ht="15.75" hidden="1" thickBot="1">
      <c r="A15" s="97"/>
      <c r="B15" s="119" t="s">
        <v>190</v>
      </c>
      <c r="C15" s="120" t="s">
        <v>400</v>
      </c>
      <c r="D15" s="97"/>
      <c r="E15" s="97"/>
      <c r="F15" s="97"/>
      <c r="G15" s="97"/>
      <c r="H15" s="97"/>
      <c r="I15" s="97"/>
    </row>
    <row r="16" spans="1:15" hidden="1"/>
    <row r="17" spans="1:19" hidden="1"/>
    <row r="18" spans="1:19" hidden="1"/>
    <row r="19" spans="1:19" hidden="1"/>
    <row r="20" spans="1:19" hidden="1"/>
    <row r="21" spans="1:19" hidden="1"/>
    <row r="22" spans="1:19" hidden="1"/>
    <row r="23" spans="1:19" hidden="1"/>
    <row r="24" spans="1:19" hidden="1"/>
    <row r="25" spans="1:19" ht="59.25" customHeight="1">
      <c r="A25" s="121" t="s">
        <v>297</v>
      </c>
      <c r="B25" s="122" t="s">
        <v>298</v>
      </c>
      <c r="C25" s="123" t="s">
        <v>127</v>
      </c>
      <c r="D25" s="122" t="s">
        <v>295</v>
      </c>
      <c r="E25" s="122" t="s">
        <v>127</v>
      </c>
      <c r="F25" s="122" t="s">
        <v>296</v>
      </c>
      <c r="G25" s="124" t="s">
        <v>127</v>
      </c>
      <c r="H25" s="122" t="s">
        <v>299</v>
      </c>
      <c r="I25" s="122" t="s">
        <v>300</v>
      </c>
    </row>
    <row r="26" spans="1:19">
      <c r="A26" s="113" t="s">
        <v>200</v>
      </c>
      <c r="B26" s="102" t="s">
        <v>201</v>
      </c>
      <c r="C26" s="102" t="s">
        <v>263</v>
      </c>
      <c r="D26" s="102" t="s">
        <v>176</v>
      </c>
      <c r="E26" s="102" t="s">
        <v>268</v>
      </c>
      <c r="F26" s="102" t="s">
        <v>269</v>
      </c>
      <c r="G26" s="102" t="s">
        <v>125</v>
      </c>
      <c r="H26" s="102" t="s">
        <v>126</v>
      </c>
      <c r="I26" s="102" t="s">
        <v>246</v>
      </c>
    </row>
    <row r="27" spans="1:19" ht="70.5" customHeight="1" thickBot="1">
      <c r="A27" s="131">
        <v>2500</v>
      </c>
      <c r="B27" s="132">
        <v>500</v>
      </c>
      <c r="C27" s="132" t="s">
        <v>333</v>
      </c>
      <c r="D27" s="132">
        <v>150</v>
      </c>
      <c r="E27" s="132" t="s">
        <v>353</v>
      </c>
      <c r="F27" s="132">
        <v>30</v>
      </c>
      <c r="G27" s="132" t="s">
        <v>262</v>
      </c>
      <c r="H27" s="132">
        <v>1</v>
      </c>
      <c r="I27" s="132" t="s">
        <v>254</v>
      </c>
    </row>
    <row r="28" spans="1:19">
      <c r="A28" s="155" t="s">
        <v>389</v>
      </c>
      <c r="B28" s="155"/>
      <c r="C28" s="155" t="s">
        <v>390</v>
      </c>
      <c r="D28" s="155"/>
      <c r="E28" s="143" t="s">
        <v>398</v>
      </c>
      <c r="F28" s="144"/>
      <c r="G28" s="147" t="s">
        <v>414</v>
      </c>
      <c r="H28" s="147"/>
      <c r="I28" s="118" t="s">
        <v>397</v>
      </c>
    </row>
    <row r="29" spans="1:19">
      <c r="A29" s="152">
        <f>Laskenta!M35</f>
        <v>958.74869999999987</v>
      </c>
      <c r="B29" s="153"/>
      <c r="C29" s="152">
        <f>Laskenta!P35</f>
        <v>423.95534999999995</v>
      </c>
      <c r="D29" s="153"/>
      <c r="E29" s="139">
        <f>Laskenta!AA35</f>
        <v>354.68159999999995</v>
      </c>
      <c r="F29" s="140"/>
      <c r="G29" s="145">
        <f>Laskenta!S35</f>
        <v>0</v>
      </c>
      <c r="H29" s="146"/>
      <c r="I29" s="91">
        <f>Laskenta!Z35</f>
        <v>0</v>
      </c>
    </row>
    <row r="30" spans="1:19">
      <c r="A30" s="94"/>
      <c r="B30" s="95"/>
      <c r="C30" s="94"/>
      <c r="D30" s="95"/>
      <c r="E30" s="96"/>
      <c r="F30" s="96"/>
      <c r="G30" s="96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4"/>
    </row>
    <row r="31" spans="1:19" ht="45.75" thickBot="1">
      <c r="A31" s="108" t="s">
        <v>173</v>
      </c>
      <c r="B31" s="108" t="s">
        <v>173</v>
      </c>
      <c r="C31" s="108" t="s">
        <v>294</v>
      </c>
      <c r="D31" s="108" t="s">
        <v>294</v>
      </c>
      <c r="E31" s="125"/>
      <c r="F31" s="125" t="s">
        <v>379</v>
      </c>
      <c r="G31" s="125" t="s">
        <v>303</v>
      </c>
      <c r="H31" s="125"/>
      <c r="I31" s="97"/>
      <c r="J31" s="96"/>
      <c r="K31" s="96"/>
      <c r="L31" s="96"/>
      <c r="M31" s="96"/>
      <c r="N31" s="96"/>
      <c r="O31" s="96"/>
      <c r="P31" s="96"/>
      <c r="Q31" s="96"/>
      <c r="R31" s="96"/>
      <c r="S31" s="94"/>
    </row>
    <row r="32" spans="1:19" ht="25.5">
      <c r="A32" s="123" t="s">
        <v>127</v>
      </c>
      <c r="B32" s="123" t="s">
        <v>127</v>
      </c>
      <c r="C32" s="122" t="s">
        <v>301</v>
      </c>
      <c r="D32" s="122" t="s">
        <v>302</v>
      </c>
      <c r="E32" s="126" t="s">
        <v>375</v>
      </c>
      <c r="F32" s="126" t="s">
        <v>363</v>
      </c>
      <c r="G32" s="122" t="s">
        <v>383</v>
      </c>
      <c r="H32" s="126" t="s">
        <v>178</v>
      </c>
      <c r="I32" s="136"/>
      <c r="K32" s="96"/>
      <c r="L32" s="96"/>
      <c r="M32" s="96"/>
      <c r="N32" s="96"/>
      <c r="O32" s="96"/>
      <c r="P32" s="96"/>
      <c r="Q32" s="96"/>
      <c r="R32" s="96"/>
      <c r="S32" s="94"/>
    </row>
    <row r="33" spans="1:19">
      <c r="A33" s="102" t="s">
        <v>139</v>
      </c>
      <c r="B33" s="102" t="s">
        <v>134</v>
      </c>
      <c r="C33" s="102" t="s">
        <v>136</v>
      </c>
      <c r="D33" s="102" t="s">
        <v>137</v>
      </c>
      <c r="E33" s="127" t="s">
        <v>327</v>
      </c>
      <c r="F33" s="127" t="s">
        <v>362</v>
      </c>
      <c r="G33" s="102" t="s">
        <v>277</v>
      </c>
      <c r="H33" s="127" t="s">
        <v>272</v>
      </c>
      <c r="I33" s="137"/>
      <c r="K33" s="96"/>
      <c r="L33" s="96"/>
      <c r="M33" s="96"/>
      <c r="N33" s="96"/>
      <c r="O33" s="96"/>
      <c r="P33" s="96"/>
      <c r="Q33" s="96"/>
      <c r="R33" s="96"/>
      <c r="S33" s="94"/>
    </row>
    <row r="34" spans="1:19" ht="79.5" customHeight="1">
      <c r="A34" s="133" t="s">
        <v>384</v>
      </c>
      <c r="B34" s="133" t="s">
        <v>253</v>
      </c>
      <c r="C34" s="133" t="s">
        <v>368</v>
      </c>
      <c r="D34" s="133" t="s">
        <v>369</v>
      </c>
      <c r="E34" s="134" t="s">
        <v>358</v>
      </c>
      <c r="F34" s="134" t="s">
        <v>360</v>
      </c>
      <c r="G34" s="133" t="s">
        <v>364</v>
      </c>
      <c r="H34" s="135"/>
      <c r="I34" s="137"/>
      <c r="K34" s="96"/>
      <c r="L34" s="96"/>
      <c r="M34" s="96"/>
      <c r="N34" s="96"/>
      <c r="O34" s="96"/>
      <c r="P34" s="96"/>
      <c r="Q34" s="96"/>
      <c r="R34" s="96"/>
      <c r="S34" s="94"/>
    </row>
    <row r="35" spans="1:19">
      <c r="A35" s="128" t="s">
        <v>372</v>
      </c>
      <c r="B35" s="128" t="s">
        <v>372</v>
      </c>
      <c r="C35" s="128" t="s">
        <v>372</v>
      </c>
      <c r="D35" s="128" t="s">
        <v>372</v>
      </c>
      <c r="E35" s="128" t="s">
        <v>372</v>
      </c>
      <c r="F35" s="128" t="s">
        <v>372</v>
      </c>
      <c r="G35" s="128" t="s">
        <v>372</v>
      </c>
      <c r="H35" s="128" t="s">
        <v>372</v>
      </c>
      <c r="I35" s="96"/>
      <c r="K35" s="96"/>
      <c r="L35" s="96"/>
      <c r="M35" s="96"/>
      <c r="N35" s="96"/>
      <c r="O35" s="96"/>
      <c r="P35" s="96"/>
      <c r="Q35" s="96"/>
      <c r="R35" s="96"/>
      <c r="S35" s="94"/>
    </row>
    <row r="36" spans="1:19" ht="28.5" customHeight="1" thickBot="1">
      <c r="A36" s="115" t="s">
        <v>373</v>
      </c>
      <c r="B36" s="115" t="s">
        <v>373</v>
      </c>
      <c r="C36" s="138">
        <v>1</v>
      </c>
      <c r="D36" s="138">
        <v>1</v>
      </c>
      <c r="E36" s="138">
        <v>1</v>
      </c>
      <c r="F36" s="138">
        <v>0</v>
      </c>
      <c r="G36" s="90">
        <f>IF(G34="ilman kannakkeita",0,IF(A27&lt;1000,1,IF(A27&lt;2000,2,3)))</f>
        <v>0</v>
      </c>
      <c r="H36" s="90">
        <v>1</v>
      </c>
      <c r="I36" s="97"/>
      <c r="J36" s="103" t="str">
        <f>IF(AND(G27=Laskenta!N101,Etusivu!H27&gt;0),_xlfn.TEXTJOIN(" ",TRUE,"DR allas vaatii lisäksi kannakkeparin SA4 - hinta ei vielä tiedossa",Etusivu!H27,"kpl"),"")</f>
        <v/>
      </c>
      <c r="K36" s="96"/>
      <c r="L36" s="96"/>
      <c r="M36" s="96"/>
      <c r="N36" s="96"/>
      <c r="O36" s="96"/>
      <c r="P36" s="96"/>
      <c r="Q36" s="96"/>
      <c r="R36" s="96"/>
      <c r="S36" s="94"/>
    </row>
    <row r="37" spans="1:19">
      <c r="A37" s="118" t="s">
        <v>391</v>
      </c>
      <c r="B37" s="118" t="s">
        <v>392</v>
      </c>
      <c r="C37" s="118" t="s">
        <v>394</v>
      </c>
      <c r="D37" s="118" t="s">
        <v>395</v>
      </c>
      <c r="E37" s="118" t="s">
        <v>412</v>
      </c>
      <c r="F37" s="118" t="s">
        <v>413</v>
      </c>
      <c r="G37" s="118" t="s">
        <v>393</v>
      </c>
      <c r="H37" s="118" t="s">
        <v>396</v>
      </c>
      <c r="I37" s="97"/>
      <c r="J37" s="96"/>
      <c r="K37" s="96"/>
      <c r="L37" s="96"/>
      <c r="M37" s="96"/>
      <c r="N37" s="96"/>
      <c r="O37" s="96"/>
      <c r="P37" s="96"/>
      <c r="Q37" s="96"/>
      <c r="R37" s="96"/>
      <c r="S37" s="94"/>
    </row>
    <row r="38" spans="1:19">
      <c r="A38" s="91">
        <f>Laskenta!T35</f>
        <v>0</v>
      </c>
      <c r="B38" s="91">
        <f>Laskenta!U35</f>
        <v>0</v>
      </c>
      <c r="C38" s="104">
        <f>Laskenta!V35</f>
        <v>41.564249999999994</v>
      </c>
      <c r="D38" s="104">
        <f>Laskenta!W35</f>
        <v>196.73745</v>
      </c>
      <c r="E38" s="91">
        <f>Laskenta!AC35</f>
        <v>49.877099999999999</v>
      </c>
      <c r="F38" s="91">
        <f>Laskenta!AD35</f>
        <v>0</v>
      </c>
      <c r="G38" s="91">
        <f>Laskenta!X35</f>
        <v>0</v>
      </c>
      <c r="H38" s="91">
        <f>Laskenta!Y35</f>
        <v>110.83799999999998</v>
      </c>
      <c r="I38" s="96"/>
      <c r="J38" s="96"/>
      <c r="K38" s="96"/>
      <c r="L38" s="96"/>
      <c r="M38" s="96"/>
      <c r="N38" s="96"/>
      <c r="O38" s="96"/>
      <c r="P38" s="96"/>
      <c r="Q38" s="94"/>
    </row>
    <row r="39" spans="1:19">
      <c r="A39" s="94"/>
      <c r="B39" s="95"/>
      <c r="C39" s="94"/>
      <c r="D39" s="95"/>
      <c r="E39" s="96"/>
      <c r="F39" s="96"/>
      <c r="G39" s="96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4"/>
    </row>
    <row r="40" spans="1:19" hidden="1">
      <c r="A40" s="94"/>
      <c r="B40" s="95"/>
      <c r="C40" s="94"/>
      <c r="D40" s="95"/>
      <c r="E40" s="96"/>
      <c r="F40" s="96"/>
      <c r="G40" s="96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4"/>
    </row>
    <row r="41" spans="1:19" ht="15.75" thickBot="1">
      <c r="A41" s="94"/>
      <c r="B41" s="95"/>
      <c r="C41" s="94"/>
      <c r="D41" s="95"/>
      <c r="E41" s="96"/>
      <c r="F41" s="96"/>
      <c r="G41" s="96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4"/>
    </row>
    <row r="42" spans="1:19" ht="19.5" thickBot="1">
      <c r="A42" s="94"/>
      <c r="B42" s="148" t="s">
        <v>128</v>
      </c>
      <c r="C42" s="149"/>
      <c r="E42" s="78" t="s">
        <v>288</v>
      </c>
      <c r="F42" s="98" t="s">
        <v>289</v>
      </c>
      <c r="G42" s="100" t="s">
        <v>284</v>
      </c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4"/>
    </row>
    <row r="43" spans="1:19" ht="15.75" thickBot="1">
      <c r="A43" s="94"/>
      <c r="B43" s="73">
        <f>C43/1.24</f>
        <v>1722.9052016129033</v>
      </c>
      <c r="C43" s="74">
        <f>Laskenta!R41</f>
        <v>2136.40245</v>
      </c>
      <c r="E43" s="80" t="str">
        <f>_xlfn.CONCAT(Laskenta!Y42&amp;" kg")</f>
        <v>51 kg</v>
      </c>
      <c r="F43" s="99" t="str">
        <f>_xlfn.CONCAT(Laskenta!Z42&amp;" kg")</f>
        <v>45 kg</v>
      </c>
      <c r="G43" s="101" t="str">
        <f>_xlfn.CONCAT(Laskenta!AA42&amp;" kg")</f>
        <v>96 kg</v>
      </c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4"/>
    </row>
    <row r="44" spans="1:19" ht="15.75" thickBot="1">
      <c r="B44" s="119" t="s">
        <v>190</v>
      </c>
      <c r="C44" s="120" t="s">
        <v>400</v>
      </c>
    </row>
    <row r="46" spans="1:19" ht="6.75" hidden="1" customHeight="1"/>
    <row r="47" spans="1:19" ht="6" hidden="1" customHeight="1">
      <c r="E47" s="129"/>
      <c r="F47" s="130"/>
      <c r="G47" s="130"/>
    </row>
    <row r="48" spans="1:19" ht="15.75">
      <c r="A48" s="106" t="s">
        <v>124</v>
      </c>
      <c r="E48" s="129" t="s">
        <v>274</v>
      </c>
      <c r="F48" s="130" t="s">
        <v>275</v>
      </c>
      <c r="G48" s="130" t="s">
        <v>276</v>
      </c>
    </row>
    <row r="49" spans="1:7">
      <c r="A49" s="76" t="str">
        <f>_xlfn.TEXTJOIN(" ",TRUE,"Mittatilaus allastaso",A27&amp;"x"&amp;B27&amp;" mm ("&amp;F49&amp;")")</f>
        <v>Mittatilaus allastaso 2500x500 mm (XS260/50)</v>
      </c>
      <c r="E49" s="75">
        <f>Laskenta!R72</f>
        <v>1</v>
      </c>
      <c r="F49" s="76" t="str">
        <f>Laskenta!S72</f>
        <v>XS260/50</v>
      </c>
      <c r="G49" s="76" t="str">
        <f>Laskenta!T72</f>
        <v>width: 2500 mm depth: 500 mm</v>
      </c>
    </row>
    <row r="50" spans="1:7">
      <c r="A50" s="76" t="str">
        <f>IF(C27=Laskenta!N77,"Allastaso ilman reunoja",_xlfn.TEXTJOIN(" ",TRUE,"alapuolella",C27,"korkeus",D27&amp;" mm"))</f>
        <v>alapuolella etureuna ja vasen sivureuna (FLS) korkeus 150 mm</v>
      </c>
      <c r="E50" s="75">
        <f>Laskenta!R73</f>
        <v>1</v>
      </c>
      <c r="F50" s="76" t="str">
        <f>Laskenta!S73</f>
        <v>FLS</v>
      </c>
      <c r="G50" s="76" t="str">
        <f>Laskenta!T73</f>
        <v>Skirting (Front and left side) height: 150</v>
      </c>
    </row>
    <row r="51" spans="1:7">
      <c r="A51" s="76" t="str">
        <f>IF(E27=Laskenta!N77,"ilman yläpuoleisia reunoja",_xlfn.TEXTJOIN(" ",TRUE,"Allastason yläpuolella",E27,"korkeus",F27&amp;" mm"))</f>
        <v>Allastason yläpuolella takareuna (BB) korkeus 30 mm</v>
      </c>
      <c r="E51" s="75">
        <f>Laskenta!R74</f>
        <v>1</v>
      </c>
      <c r="F51" s="76" t="str">
        <f>Laskenta!S74</f>
        <v>BB</v>
      </c>
      <c r="G51" s="76" t="str">
        <f>Laskenta!T74</f>
        <v>Splashboard (Back) height: 30</v>
      </c>
    </row>
    <row r="52" spans="1:7">
      <c r="A52" s="76" t="str">
        <f>IF(OR(G27=Laskenta!N104,H27=0,H27=""),"ilman allasta",_xlfn.TEXTJOIN(" ",TRUE,"Altaan malli: "&amp;Etusivu!G27,Etusivu!H27,"kpl"))</f>
        <v>ilman allasta</v>
      </c>
      <c r="E52" s="75" t="str">
        <f>Laskenta!R75</f>
        <v/>
      </c>
      <c r="F52" s="76" t="str">
        <f>Laskenta!S75</f>
        <v/>
      </c>
      <c r="G52" s="76" t="str">
        <f>Laskenta!T75</f>
        <v/>
      </c>
    </row>
    <row r="53" spans="1:7">
      <c r="A53" s="76" t="str">
        <f>IF(OR(I27="",I27="ilman hanareikiä",H27=0,H27=""),"ilman hanareikiä","Hanareiät altaisiin ("&amp;F53&amp;") "&amp;E53&amp;" kpl")</f>
        <v>ilman hanareikiä</v>
      </c>
      <c r="E53" s="75" t="str">
        <f>Laskenta!R76</f>
        <v/>
      </c>
      <c r="F53" s="76" t="str">
        <f>Laskenta!S76</f>
        <v/>
      </c>
      <c r="G53" s="76" t="str">
        <f>Laskenta!T76</f>
        <v/>
      </c>
    </row>
    <row r="54" spans="1:7">
      <c r="A54" s="76" t="str">
        <f>IF(A34="ilman pohjaventtiiliä",A34,IF(AND(NOT(A34=""),NOT(H27=""),H27&gt;0),_xlfn.TEXTJOIN(" ",TRUE,A34,H27&amp;" kpl"),""))</f>
        <v>ilman pohjaventtiiliä</v>
      </c>
      <c r="E54" s="75" t="str">
        <f>Laskenta!R77</f>
        <v/>
      </c>
      <c r="F54" s="76" t="str">
        <f>Laskenta!S77</f>
        <v/>
      </c>
      <c r="G54" s="76" t="str">
        <f>Laskenta!T77</f>
        <v/>
      </c>
    </row>
    <row r="55" spans="1:7">
      <c r="A55" s="76" t="str">
        <f>IF(AND(NOT(B34=""),NOT(H27=""),H27&gt;0),_xlfn.TEXTJOIN(" ",TRUE,B34,IF(B34="ilman vesilukkoa","",H27&amp;" kpl")),"ilman vesilukkoa")</f>
        <v>ilman vesilukkoa</v>
      </c>
      <c r="E55" s="76" t="str">
        <f>Laskenta!R78</f>
        <v/>
      </c>
      <c r="F55" s="76" t="str">
        <f>Laskenta!S78</f>
        <v/>
      </c>
      <c r="G55" s="76" t="str">
        <f>Laskenta!T78</f>
        <v/>
      </c>
    </row>
    <row r="56" spans="1:7">
      <c r="A56" s="76" t="str">
        <f>IF(OR(C34="ilman pyyhetankoa",C34="",C36="",C36=0,C38="Vaatii vähintään 150 mm etureunan",C38="Vaatii FRS, FLS tai FLRS etureunan"),"",C34&amp;" "&amp;C36&amp;" kpl")</f>
        <v>pyyhetanko leikattu (TS) 1 kpl</v>
      </c>
      <c r="E56" s="75">
        <f>Laskenta!R80</f>
        <v>1</v>
      </c>
      <c r="F56" s="76" t="str">
        <f>Laskenta!S80</f>
        <v>TS</v>
      </c>
      <c r="G56" s="76" t="str">
        <f>Laskenta!T80</f>
        <v>1 piece(s) of Towelbar cutout (60*400 mm)</v>
      </c>
    </row>
    <row r="57" spans="1:7">
      <c r="A57" s="76" t="str">
        <f>IF(OR(D34="ilman paperitelinettä",D34="",D36="",D36=0,D38="Vaatii vähintään 150 mm etureunan"),"",D34&amp;" "&amp;D36&amp;" kpl")</f>
        <v>paperiteline (TPD) 1 kpl</v>
      </c>
      <c r="E57" s="75">
        <f>Laskenta!R81</f>
        <v>1</v>
      </c>
      <c r="F57" s="76" t="str">
        <f>Laskenta!S81</f>
        <v>TPD</v>
      </c>
      <c r="G57" s="76" t="str">
        <f>Laskenta!T81</f>
        <v>1 piece(s) of Integrated tissue paper dispenser chrome finish</v>
      </c>
    </row>
    <row r="58" spans="1:7">
      <c r="A58" s="76" t="str">
        <f>IF(OR(E34="ilman roskakorin reikää",E34="",E36="",E36=0),"",E34&amp;" "&amp;E36&amp;" kpl")</f>
        <v>roskakorin reikä Ø 150 mm (GH) 1 kpl</v>
      </c>
      <c r="E58" s="75">
        <f>Laskenta!R82</f>
        <v>1</v>
      </c>
      <c r="F58" s="76" t="str">
        <f>Laskenta!S82</f>
        <v>GH</v>
      </c>
      <c r="G58" s="76" t="str">
        <f>Laskenta!T82</f>
        <v>1 piece(s) of Garbage bin hole on the tabletop (Ø 150 mm), finished edges</v>
      </c>
    </row>
    <row r="59" spans="1:7">
      <c r="A59" s="76" t="str">
        <f>IF(OR(F34="ilman viemäröinti reikää tasoon",F34="",F36="",F36=0),"",F34&amp;" "&amp;F36&amp;" kpl")</f>
        <v/>
      </c>
      <c r="E59" s="76" t="str">
        <f>Laskenta!R83</f>
        <v/>
      </c>
      <c r="F59" s="76" t="str">
        <f>Laskenta!S83</f>
        <v/>
      </c>
      <c r="G59" s="76" t="str">
        <f>Laskenta!T83</f>
        <v/>
      </c>
    </row>
    <row r="60" spans="1:7">
      <c r="A60" s="76" t="str">
        <f>IF(OR(G36="",G36=0),"ilman kannakkeita",_xlfn.TEXTJOIN(" ",TRUE,G36&amp;" kannakepari"&amp;IF(G36&gt;=2,"a",""),F60))</f>
        <v>ilman kannakkeita</v>
      </c>
      <c r="E60" s="75" t="str">
        <f>Laskenta!R79</f>
        <v/>
      </c>
      <c r="F60" s="76" t="str">
        <f>Laskenta!S79</f>
        <v/>
      </c>
      <c r="G60" s="76" t="str">
        <f>Laskenta!T79</f>
        <v/>
      </c>
    </row>
    <row r="62" spans="1:7" hidden="1"/>
    <row r="63" spans="1:7">
      <c r="A63" s="130" t="s">
        <v>382</v>
      </c>
    </row>
    <row r="64" spans="1:7" ht="102" customHeight="1">
      <c r="A64" s="141" t="str">
        <f>_xlfn.TEXTJOIN(", ",TRUE,A49:A60)</f>
        <v>Mittatilaus allastaso 2500x500 mm (XS260/50), alapuolella etureuna ja vasen sivureuna (FLS) korkeus 150 mm, Allastason yläpuolella takareuna (BB) korkeus 30 mm, ilman allasta, ilman hanareikiä, ilman pohjaventtiiliä, ilman vesilukkoa, pyyhetanko leikattu (TS) 1 kpl, paperiteline (TPD) 1 kpl, roskakorin reikä Ø 150 mm (GH) 1 kpl, ilman kannakkeita</v>
      </c>
      <c r="B64" s="141"/>
      <c r="C64" s="141"/>
      <c r="D64" s="141"/>
      <c r="E64" s="141"/>
    </row>
  </sheetData>
  <sheetProtection algorithmName="SHA-512" hashValue="oWaYzW5mIVO+Sz9vrd0mgkYE/onU1xR5KtJ1ASa9FGVEmBEzhAjBbeiPZiCVo66JsP6f9jtuDHRP1r9tGug3DA==" saltValue="myGLJmlZkfs5GdQS0g9Oeg==" spinCount="100000" sheet="1" objects="1" scenarios="1"/>
  <mergeCells count="19">
    <mergeCell ref="C28:D28"/>
    <mergeCell ref="D9:E9"/>
    <mergeCell ref="A9:C9"/>
    <mergeCell ref="E29:F29"/>
    <mergeCell ref="A64:E64"/>
    <mergeCell ref="A1:I1"/>
    <mergeCell ref="F10:G10"/>
    <mergeCell ref="E28:F28"/>
    <mergeCell ref="G29:H29"/>
    <mergeCell ref="G28:H28"/>
    <mergeCell ref="F9:G9"/>
    <mergeCell ref="B42:C42"/>
    <mergeCell ref="A5:B5"/>
    <mergeCell ref="B13:C13"/>
    <mergeCell ref="A29:B29"/>
    <mergeCell ref="C29:D29"/>
    <mergeCell ref="D10:E10"/>
    <mergeCell ref="A10:C10"/>
    <mergeCell ref="A28:B28"/>
  </mergeCells>
  <conditionalFormatting sqref="A1 L1:XFD1 A2:XFD24 A25:I29 S25:XFD29 A30:XFD30 E31:XFD31 A31:D35 E32:I35 K32:XFD35 C36:XFD38 A37:B38 A39:XFD45 A46 G46:XFD46 E47:XFD54 A47:C59 H55:XFD61 E56:G58 E60:G60 A60:D61 A62:XFD63 A64 F64:XFD64 A65:XFD1048576">
    <cfRule type="cellIs" dxfId="6" priority="10" operator="equal">
      <formula>"Ei määrämitoissa"</formula>
    </cfRule>
  </conditionalFormatting>
  <conditionalFormatting sqref="C36">
    <cfRule type="expression" dxfId="5" priority="6">
      <formula>AND(OR($C$34="pyyhetanko (TB)",$C$34="pyyhetanko leikattu (TS)"),OR($C$36=0,$C$36=""))</formula>
    </cfRule>
  </conditionalFormatting>
  <conditionalFormatting sqref="C38">
    <cfRule type="cellIs" dxfId="4" priority="7" operator="equal">
      <formula>"Vaatii FRS, FLS tai FLRS etureunan"</formula>
    </cfRule>
  </conditionalFormatting>
  <conditionalFormatting sqref="D36">
    <cfRule type="expression" dxfId="3" priority="3">
      <formula>AND($D$34="paperiteline (TPD)",NOT($D$36&gt;0))</formula>
    </cfRule>
  </conditionalFormatting>
  <conditionalFormatting sqref="E36">
    <cfRule type="expression" dxfId="2" priority="2">
      <formula>AND($E$34="roskakorin reikä Ø 150 mm (GH)",NOT($E$36&gt;0))</formula>
    </cfRule>
  </conditionalFormatting>
  <conditionalFormatting sqref="F36">
    <cfRule type="expression" dxfId="1" priority="1">
      <formula>AND($F$34="viemäröinti reikä tasoon Ø 120 mm (DH)",NOT($F$36&gt;0))</formula>
    </cfRule>
  </conditionalFormatting>
  <conditionalFormatting sqref="L10:N10 L30:N30 M31:O37 C38:D38 K38:M38 L39:N43">
    <cfRule type="cellIs" dxfId="0" priority="13" operator="equal">
      <formula>"Vaatii vähintään 150 mm etureunan"</formula>
    </cfRule>
  </conditionalFormatting>
  <dataValidations count="4">
    <dataValidation type="whole" showInputMessage="1" showErrorMessage="1" errorTitle="Leveys ei ole määrämitoissa!" promptTitle="Valitse leveys" prompt="Leveys on oltava 600-3000 mm välillä." sqref="A27" xr:uid="{665FDA5E-8385-4E6B-B751-B4F9858E71BD}">
      <formula1>600</formula1>
      <formula2>3000</formula2>
    </dataValidation>
    <dataValidation type="whole" showInputMessage="1" showErrorMessage="1" promptTitle="Valitse syvyys" prompt="Syvyys on oltava 400-610 mm välillä." sqref="B27" xr:uid="{F850B181-6839-49DC-9E84-E1B493D419B5}">
      <formula1>400</formula1>
      <formula2>610</formula2>
    </dataValidation>
    <dataValidation type="whole" allowBlank="1" showInputMessage="1" showErrorMessage="1" promptTitle="Valitse etureunan korkeus" prompt="Etureunan korkeus on oltava 30-200 mm välillä." sqref="D27" xr:uid="{5EF9C3DE-85D0-4061-AF9E-C6894290CAAD}">
      <formula1>30</formula1>
      <formula2>200</formula2>
    </dataValidation>
    <dataValidation type="whole" showInputMessage="1" showErrorMessage="1" promptTitle="Valitse roiskesuojalevyn korkeus" prompt="Roiskesuojalevyn korkeus on oltava 30-150 mm välillä." sqref="F27" xr:uid="{44CF2745-3D74-4BE1-9654-2E2A80EEE45F}">
      <formula1>30</formula1>
      <formula2>150</formula2>
    </dataValidation>
  </dataValidations>
  <pageMargins left="0.15748031496062992" right="0.15748031496062992" top="0.15748031496062992" bottom="0.15748031496062992" header="0.15748031496062992" footer="0.15748031496062992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D766AC81-D582-4534-BA39-44AD58EDC7CA}">
          <x14:formula1>
            <xm:f>Laskenta!$N$120:$N$123</xm:f>
          </x14:formula1>
          <xm:sqref>G34</xm:sqref>
        </x14:dataValidation>
        <x14:dataValidation type="list" allowBlank="1" showInputMessage="1" showErrorMessage="1" xr:uid="{6BF335F4-34DC-454E-B808-8FEBD95FD978}">
          <x14:formula1>
            <xm:f>Laskenta!$N$89:$N$91</xm:f>
          </x14:formula1>
          <xm:sqref>J8 B34</xm:sqref>
        </x14:dataValidation>
        <x14:dataValidation type="list" allowBlank="1" showInputMessage="1" showErrorMessage="1" xr:uid="{A139D7BB-36E0-4DFB-B789-45F06C3825AD}">
          <x14:formula1>
            <xm:f>Laskenta!$N$73:$N$77</xm:f>
          </x14:formula1>
          <xm:sqref>D8</xm:sqref>
        </x14:dataValidation>
        <x14:dataValidation type="list" allowBlank="1" showInputMessage="1" showErrorMessage="1" xr:uid="{96225AD7-7BB1-4B76-A16B-E599324046F7}">
          <x14:formula1>
            <xm:f>Laskenta!$N$57:$N$60</xm:f>
          </x14:formula1>
          <xm:sqref>A8</xm:sqref>
        </x14:dataValidation>
        <x14:dataValidation type="list" allowBlank="1" showInputMessage="1" showErrorMessage="1" xr:uid="{EFF0FCC8-6F20-4DF2-AC0C-B9716BCE6CAF}">
          <x14:formula1>
            <xm:f>Laskenta!$N$106:$N$110</xm:f>
          </x14:formula1>
          <xm:sqref>F8 E27</xm:sqref>
        </x14:dataValidation>
        <x14:dataValidation type="list" allowBlank="1" showInputMessage="1" showErrorMessage="1" xr:uid="{169EC2D7-6E53-41C8-8BD3-B05971DD805F}">
          <x14:formula1>
            <xm:f>Laskenta!$N$97:$N$104</xm:f>
          </x14:formula1>
          <xm:sqref>G27</xm:sqref>
        </x14:dataValidation>
        <x14:dataValidation type="list" allowBlank="1" showInputMessage="1" showErrorMessage="1" xr:uid="{B104597D-5AEE-4316-8852-B76EC4976122}">
          <x14:formula1>
            <xm:f>Laskenta!$N$81:$N$85</xm:f>
          </x14:formula1>
          <xm:sqref>I8</xm:sqref>
        </x14:dataValidation>
        <x14:dataValidation type="list" allowBlank="1" showInputMessage="1" showErrorMessage="1" xr:uid="{539EEAD0-44D8-476E-A88C-7908BE131DE8}">
          <x14:formula1>
            <xm:f>Laskenta!$N$81:$N$84</xm:f>
          </x14:formula1>
          <xm:sqref>A34</xm:sqref>
        </x14:dataValidation>
        <x14:dataValidation type="list" allowBlank="1" showInputMessage="1" showErrorMessage="1" xr:uid="{AC97CB93-F44B-4CBA-B6EC-A4ABC4E793F4}">
          <x14:formula1>
            <xm:f>Laskenta!$N$125:$N$127</xm:f>
          </x14:formula1>
          <xm:sqref>C34</xm:sqref>
        </x14:dataValidation>
        <x14:dataValidation type="list" allowBlank="1" showInputMessage="1" showErrorMessage="1" xr:uid="{47758FD0-2690-4E41-AA5C-8F2E01DE5B7A}">
          <x14:formula1>
            <xm:f>Laskenta!$N$129:$N$130</xm:f>
          </x14:formula1>
          <xm:sqref>D34</xm:sqref>
        </x14:dataValidation>
        <x14:dataValidation type="list" allowBlank="1" showInputMessage="1" showErrorMessage="1" xr:uid="{D4C24B62-B9AE-4EE8-8532-0C63C0791698}">
          <x14:formula1>
            <xm:f>Laskenta!$N$116:$N$117</xm:f>
          </x14:formula1>
          <xm:sqref>F34</xm:sqref>
        </x14:dataValidation>
        <x14:dataValidation type="list" allowBlank="1" showInputMessage="1" showErrorMessage="1" xr:uid="{B8B0C102-6E72-441A-A222-9B7DDAAB351A}">
          <x14:formula1>
            <xm:f>Laskenta!$N$112:$N$113</xm:f>
          </x14:formula1>
          <xm:sqref>E34</xm:sqref>
        </x14:dataValidation>
        <x14:dataValidation type="list" allowBlank="1" showInputMessage="1" showErrorMessage="1" xr:uid="{BC5765DD-E86A-4585-932F-4E61562BAD35}">
          <x14:formula1>
            <xm:f>Laskenta!$N$93:$N$94</xm:f>
          </x14:formula1>
          <xm:sqref>H8 I27</xm:sqref>
        </x14:dataValidation>
        <x14:dataValidation type="list" showInputMessage="1" showErrorMessage="1" xr:uid="{80D17B0A-27E6-4697-9C93-7BA3A49BB0BB}">
          <x14:formula1>
            <xm:f>Laskenta!$N$73:$N$77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88A2-83DF-403A-B428-6E593F2F170B}">
  <sheetPr codeName="Taul2"/>
  <dimension ref="A1:XFD130"/>
  <sheetViews>
    <sheetView topLeftCell="XFD1048576" zoomScaleNormal="100" workbookViewId="0">
      <selection activeCell="XFD1" sqref="A1:XFD1048576"/>
    </sheetView>
  </sheetViews>
  <sheetFormatPr defaultColWidth="7.85546875" defaultRowHeight="28.5" customHeight="1" zeroHeight="1"/>
  <cols>
    <col min="1" max="1" width="37.42578125" hidden="1" customWidth="1"/>
    <col min="2" max="2" width="88.42578125" hidden="1" customWidth="1"/>
    <col min="3" max="3" width="60.5703125" hidden="1" customWidth="1"/>
    <col min="4" max="11" width="8.140625" hidden="1" customWidth="1"/>
    <col min="12" max="12" width="0" hidden="1" customWidth="1"/>
    <col min="13" max="13" width="21.42578125" hidden="1" customWidth="1"/>
    <col min="14" max="14" width="60.5703125" hidden="1" customWidth="1"/>
    <col min="15" max="15" width="22.140625" hidden="1" customWidth="1"/>
    <col min="16" max="16" width="32.28515625" hidden="1" customWidth="1"/>
    <col min="17" max="17" width="18.7109375" hidden="1" customWidth="1"/>
    <col min="18" max="18" width="21.42578125" hidden="1" customWidth="1"/>
    <col min="19" max="19" width="62.42578125" hidden="1" customWidth="1"/>
    <col min="20" max="20" width="57.42578125" hidden="1" customWidth="1"/>
    <col min="21" max="21" width="55.42578125" hidden="1" customWidth="1"/>
    <col min="22" max="22" width="29.28515625" hidden="1" customWidth="1"/>
    <col min="23" max="23" width="25.85546875" hidden="1" customWidth="1"/>
    <col min="24" max="24" width="43.42578125" hidden="1" customWidth="1"/>
    <col min="25" max="25" width="23.5703125" hidden="1" customWidth="1"/>
    <col min="26" max="26" width="22.7109375" hidden="1" customWidth="1"/>
    <col min="27" max="27" width="28.7109375" hidden="1" customWidth="1"/>
    <col min="28" max="28" width="17" hidden="1" customWidth="1"/>
    <col min="29" max="29" width="27.85546875" hidden="1" customWidth="1"/>
    <col min="30" max="30" width="26.85546875" hidden="1" customWidth="1"/>
    <col min="31" max="31" width="15.28515625" hidden="1" customWidth="1"/>
    <col min="32" max="16384" width="0" hidden="1" customWidth="1"/>
  </cols>
  <sheetData>
    <row r="1" spans="1:31" ht="90.75" hidden="1" thickBot="1">
      <c r="A1" s="1" t="s">
        <v>0</v>
      </c>
      <c r="B1" s="1" t="s">
        <v>1</v>
      </c>
      <c r="C1" s="24" t="s">
        <v>36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45"/>
      <c r="M1" s="163" t="s">
        <v>123</v>
      </c>
      <c r="N1" s="164"/>
      <c r="O1" s="160" t="s">
        <v>122</v>
      </c>
      <c r="P1" s="161"/>
      <c r="Q1" s="162"/>
      <c r="R1" s="19"/>
    </row>
    <row r="2" spans="1:31" ht="15" hidden="1">
      <c r="A2" s="3" t="s">
        <v>10</v>
      </c>
      <c r="B2" s="3"/>
      <c r="C2" s="3"/>
      <c r="D2" s="4"/>
      <c r="E2" s="4"/>
      <c r="F2" s="4"/>
      <c r="G2" s="4"/>
      <c r="H2" s="4"/>
      <c r="I2" s="4"/>
      <c r="J2" s="4"/>
      <c r="K2" s="4"/>
      <c r="L2" s="46"/>
      <c r="M2" s="47" t="s">
        <v>127</v>
      </c>
      <c r="N2" s="37" t="s">
        <v>129</v>
      </c>
      <c r="O2" s="37" t="s">
        <v>164</v>
      </c>
      <c r="P2" s="37" t="s">
        <v>131</v>
      </c>
      <c r="Q2" s="37" t="s">
        <v>131</v>
      </c>
      <c r="R2" s="37" t="s">
        <v>131</v>
      </c>
      <c r="S2" s="37" t="s">
        <v>147</v>
      </c>
      <c r="T2" s="37" t="s">
        <v>148</v>
      </c>
      <c r="U2" s="37" t="s">
        <v>159</v>
      </c>
      <c r="V2" s="37" t="s">
        <v>138</v>
      </c>
      <c r="W2" s="39" t="s">
        <v>138</v>
      </c>
      <c r="X2" s="70" t="s">
        <v>267</v>
      </c>
      <c r="Y2" s="59" t="s">
        <v>248</v>
      </c>
      <c r="Z2" s="59" t="s">
        <v>265</v>
      </c>
    </row>
    <row r="3" spans="1:31" ht="15" hidden="1">
      <c r="A3" s="5" t="s">
        <v>11</v>
      </c>
      <c r="B3" s="5"/>
      <c r="D3" s="6"/>
      <c r="E3" s="6"/>
      <c r="F3" s="6"/>
      <c r="G3" s="6"/>
      <c r="H3" s="6"/>
      <c r="I3" s="6"/>
      <c r="J3" s="6"/>
      <c r="K3" s="6"/>
      <c r="L3" s="34"/>
      <c r="M3" s="40" t="s">
        <v>142</v>
      </c>
      <c r="N3" s="35" t="s">
        <v>12</v>
      </c>
      <c r="O3" s="35" t="s">
        <v>13</v>
      </c>
      <c r="P3" s="35" t="s">
        <v>14</v>
      </c>
      <c r="Q3" s="35" t="s">
        <v>15</v>
      </c>
      <c r="R3" s="35" t="s">
        <v>16</v>
      </c>
      <c r="S3" s="35" t="s">
        <v>139</v>
      </c>
      <c r="T3" s="35" t="s">
        <v>134</v>
      </c>
      <c r="U3" s="35" t="s">
        <v>140</v>
      </c>
      <c r="V3" s="35" t="s">
        <v>136</v>
      </c>
      <c r="W3" s="41" t="s">
        <v>137</v>
      </c>
      <c r="X3" s="71" t="s">
        <v>267</v>
      </c>
      <c r="Y3" s="13" t="s">
        <v>249</v>
      </c>
    </row>
    <row r="4" spans="1:31" ht="15.75" hidden="1" thickBot="1">
      <c r="A4" s="5" t="s">
        <v>17</v>
      </c>
      <c r="B4" s="5" t="s">
        <v>18</v>
      </c>
      <c r="C4" s="5" t="s">
        <v>19</v>
      </c>
      <c r="D4" s="6" t="s">
        <v>20</v>
      </c>
      <c r="E4" s="6">
        <v>181</v>
      </c>
      <c r="F4" s="6">
        <v>39</v>
      </c>
      <c r="G4" s="6">
        <v>64</v>
      </c>
      <c r="H4" s="6">
        <v>89</v>
      </c>
      <c r="I4" s="6">
        <v>53</v>
      </c>
      <c r="J4" s="6">
        <v>86</v>
      </c>
      <c r="K4" s="6">
        <v>119</v>
      </c>
      <c r="L4" s="34"/>
      <c r="M4" s="48" t="s">
        <v>144</v>
      </c>
      <c r="N4" s="49">
        <v>1755</v>
      </c>
      <c r="O4" s="43">
        <v>500</v>
      </c>
      <c r="P4" s="43"/>
      <c r="Q4" s="43">
        <v>120</v>
      </c>
      <c r="R4" s="43"/>
      <c r="S4" s="43" t="s">
        <v>132</v>
      </c>
      <c r="T4" s="43" t="s">
        <v>135</v>
      </c>
      <c r="U4" s="43">
        <f>IF(Etusivu!A8=N57,S13,IF(OR(Etusivu!A8=N58,Etusivu!A8=N59),T13,IF(Etusivu!A8=N60,U13,"Arvo ei määrärajoissa")))</f>
        <v>3</v>
      </c>
      <c r="V4" s="43">
        <v>1</v>
      </c>
      <c r="W4" s="44"/>
      <c r="Y4" s="20" t="b">
        <f>IF(Etusivu!H8=Laskenta!N93,IF(OR(Etusivu!A8=Laskenta!N57,Etusivu!A8=Laskenta!N58,Etusivu!A8=Laskenta!N59),1,IF(Etusivu!A8=Laskenta!N60,2,"Ei määräarvoissa")))</f>
        <v>0</v>
      </c>
    </row>
    <row r="5" spans="1:31" ht="15" hidden="1">
      <c r="A5" s="5" t="s">
        <v>21</v>
      </c>
      <c r="B5" s="5" t="s">
        <v>22</v>
      </c>
      <c r="C5" s="5" t="s">
        <v>23</v>
      </c>
      <c r="D5" s="6" t="s">
        <v>20</v>
      </c>
      <c r="E5" s="6">
        <v>195</v>
      </c>
      <c r="F5" s="6">
        <v>50</v>
      </c>
      <c r="G5" s="6">
        <v>74</v>
      </c>
      <c r="H5" s="6">
        <v>99</v>
      </c>
      <c r="I5" s="6">
        <v>66</v>
      </c>
      <c r="J5" s="6">
        <v>99</v>
      </c>
      <c r="K5" s="6">
        <v>132</v>
      </c>
      <c r="L5" s="7"/>
      <c r="M5" s="21"/>
      <c r="N5" s="13"/>
      <c r="O5" s="13"/>
      <c r="P5" s="13"/>
      <c r="Q5" s="13"/>
      <c r="R5" s="13"/>
      <c r="U5" s="13"/>
    </row>
    <row r="6" spans="1:31" ht="15" hidden="1">
      <c r="A6" s="5" t="s">
        <v>24</v>
      </c>
      <c r="B6" s="5" t="s">
        <v>25</v>
      </c>
      <c r="C6" s="5" t="s">
        <v>26</v>
      </c>
      <c r="D6" s="6" t="s">
        <v>20</v>
      </c>
      <c r="E6" s="6">
        <v>208</v>
      </c>
      <c r="F6" s="6">
        <v>59</v>
      </c>
      <c r="G6" s="6">
        <v>84</v>
      </c>
      <c r="H6" s="6">
        <v>108</v>
      </c>
      <c r="I6" s="6">
        <v>79</v>
      </c>
      <c r="J6" s="6">
        <v>111</v>
      </c>
      <c r="K6" s="6">
        <v>144</v>
      </c>
      <c r="L6" s="7"/>
      <c r="M6" s="21"/>
      <c r="N6" s="13"/>
      <c r="O6" s="13"/>
      <c r="P6" s="13"/>
      <c r="Q6" s="13"/>
      <c r="R6" s="13"/>
      <c r="U6" s="13"/>
    </row>
    <row r="7" spans="1:31" ht="15" hidden="1">
      <c r="A7" s="5" t="s">
        <v>27</v>
      </c>
      <c r="B7" s="5" t="s">
        <v>28</v>
      </c>
      <c r="C7" s="5" t="s">
        <v>29</v>
      </c>
      <c r="D7" s="6" t="s">
        <v>20</v>
      </c>
      <c r="E7" s="6">
        <v>223</v>
      </c>
      <c r="F7" s="6">
        <v>69</v>
      </c>
      <c r="G7" s="6">
        <v>93</v>
      </c>
      <c r="H7" s="6">
        <v>119</v>
      </c>
      <c r="I7" s="6">
        <v>92</v>
      </c>
      <c r="J7" s="6">
        <v>125</v>
      </c>
      <c r="K7" s="6">
        <v>158</v>
      </c>
      <c r="L7" s="7"/>
      <c r="M7" s="7"/>
      <c r="N7" s="14"/>
      <c r="O7" s="13"/>
      <c r="P7" s="13"/>
      <c r="Q7" s="13"/>
      <c r="R7" s="13"/>
      <c r="U7" s="13"/>
    </row>
    <row r="8" spans="1:31" ht="15" hidden="1">
      <c r="A8" s="5" t="s">
        <v>30</v>
      </c>
      <c r="B8" s="5" t="s">
        <v>31</v>
      </c>
      <c r="C8" s="5" t="s">
        <v>32</v>
      </c>
      <c r="D8" s="6" t="s">
        <v>20</v>
      </c>
      <c r="E8" s="6">
        <v>237</v>
      </c>
      <c r="F8" s="6">
        <v>79</v>
      </c>
      <c r="G8" s="6">
        <v>104</v>
      </c>
      <c r="H8" s="6">
        <v>128</v>
      </c>
      <c r="I8" s="6">
        <v>105</v>
      </c>
      <c r="J8" s="6">
        <v>138</v>
      </c>
      <c r="K8" s="6">
        <v>171</v>
      </c>
      <c r="L8" s="7"/>
      <c r="M8" s="21"/>
      <c r="N8" s="13" t="str">
        <f>IF(AND(Etusivu!B8&gt;601,Etusivu!B8&lt;800),E4,"Väärä arvo")</f>
        <v>Väärä arvo</v>
      </c>
      <c r="O8" s="13"/>
      <c r="P8" s="13"/>
      <c r="Q8" s="26"/>
      <c r="R8" s="13"/>
      <c r="U8" s="13"/>
    </row>
    <row r="9" spans="1:31" ht="15" hidden="1">
      <c r="A9" s="5" t="s">
        <v>33</v>
      </c>
      <c r="B9" s="5"/>
      <c r="C9" s="5"/>
      <c r="D9" s="6"/>
      <c r="E9" s="6"/>
      <c r="F9" s="6"/>
      <c r="G9" s="6"/>
      <c r="H9" s="6"/>
      <c r="I9" s="6"/>
      <c r="J9" s="6"/>
      <c r="K9" s="6"/>
      <c r="L9" s="7"/>
      <c r="M9" s="21"/>
      <c r="N9" s="13"/>
      <c r="O9" s="13"/>
      <c r="P9" s="13"/>
      <c r="Q9" s="13"/>
      <c r="R9" s="13"/>
      <c r="U9" s="13"/>
    </row>
    <row r="10" spans="1:31" ht="15" hidden="1">
      <c r="A10" s="5" t="s">
        <v>34</v>
      </c>
      <c r="B10" s="5" t="s">
        <v>35</v>
      </c>
      <c r="C10" s="5" t="s">
        <v>150</v>
      </c>
      <c r="D10" s="6" t="s">
        <v>20</v>
      </c>
      <c r="E10" s="6">
        <v>223</v>
      </c>
      <c r="F10" s="6">
        <v>50</v>
      </c>
      <c r="G10" s="6">
        <v>74</v>
      </c>
      <c r="H10" s="6">
        <v>99</v>
      </c>
      <c r="I10" s="6">
        <v>66</v>
      </c>
      <c r="J10" s="6">
        <v>99</v>
      </c>
      <c r="K10" s="6">
        <v>132</v>
      </c>
      <c r="L10" s="7"/>
      <c r="N10" s="54" t="s">
        <v>182</v>
      </c>
      <c r="Q10" s="54" t="s">
        <v>183</v>
      </c>
      <c r="S10" s="26" t="s">
        <v>184</v>
      </c>
      <c r="T10" s="26" t="s">
        <v>185</v>
      </c>
      <c r="U10" s="26" t="s">
        <v>186</v>
      </c>
      <c r="V10" s="26" t="s">
        <v>187</v>
      </c>
      <c r="W10" s="26" t="s">
        <v>188</v>
      </c>
      <c r="X10" s="54" t="s">
        <v>189</v>
      </c>
      <c r="Y10" s="26" t="s">
        <v>250</v>
      </c>
      <c r="Z10" s="26" t="s">
        <v>266</v>
      </c>
      <c r="AA10" s="18" t="s">
        <v>309</v>
      </c>
      <c r="AC10" s="18"/>
    </row>
    <row r="11" spans="1:31" ht="15" hidden="1">
      <c r="A11" s="5" t="s">
        <v>37</v>
      </c>
      <c r="B11" s="5" t="s">
        <v>38</v>
      </c>
      <c r="C11" s="5" t="s">
        <v>151</v>
      </c>
      <c r="D11" s="6" t="s">
        <v>20</v>
      </c>
      <c r="E11" s="6">
        <v>223</v>
      </c>
      <c r="F11" s="6">
        <v>59</v>
      </c>
      <c r="G11" s="6">
        <v>84</v>
      </c>
      <c r="H11" s="6">
        <v>108</v>
      </c>
      <c r="I11" s="6">
        <v>79</v>
      </c>
      <c r="J11" s="6">
        <v>111</v>
      </c>
      <c r="K11" s="6">
        <v>144</v>
      </c>
      <c r="L11" s="7"/>
      <c r="N11" s="55">
        <f>IF(Etusivu!A8=N57,M13,IF(OR(Etusivu!A8=N58,Etusivu!A8=N59),N13,IF(Etusivu!A8=N60,O13,"Leveys ei määrämitoissa")))</f>
        <v>264</v>
      </c>
      <c r="P11" s="16"/>
      <c r="Q11" s="16" t="str">
        <f>IF(Etusivu!A8=N57,S14,IF(OR(Etusivu!A8=N58,Etusivu!A8=N59),S15,IF(Etusivu!A8=N60,S16,"Ei määrämitoissa")))</f>
        <v>Ei määrärajoissa</v>
      </c>
      <c r="R11" s="16"/>
      <c r="S11" s="20">
        <f>IF(Etusivu!I8=C64,D64*VLOOKUP(Etusivu!A8,N57:O60,2,0),IF(Etusivu!I8=C65,D65*VLOOKUP(Etusivu!A8,N57:O60,2,0),IF(Etusivu!I8=C66,D66*VLOOKUP(Etusivu!A8,N57:O60,2,0),IF(Etusivu!I8=C67,D67*VLOOKUP(Etusivu!A8,N57:O60,2,0),IF(Etusivu!I8=N85,0,"Ilman pohjaventtiiliä")))))</f>
        <v>38</v>
      </c>
      <c r="T11" s="13" t="str">
        <f>IF(Etusivu!J8=C70,D70*VLOOKUP(Etusivu!A8,N57:O60,2,0),IF(Etusivu!J8=C71,D71*VLOOKUP(Etusivu!A8,N57:O60,2,0),IF(Etusivu!J8=N91,0,"Ilman vesilukkoa")))</f>
        <v>Ilman vesilukkoa</v>
      </c>
      <c r="U11" s="51">
        <f>U4*D73</f>
        <v>48</v>
      </c>
      <c r="V11" s="13">
        <f>Etusivu!L8*D77</f>
        <v>36</v>
      </c>
      <c r="W11" s="13">
        <f>Etusivu!N8*D78</f>
        <v>71</v>
      </c>
      <c r="X11" s="20">
        <f>D99</f>
        <v>40</v>
      </c>
      <c r="Y11" s="72">
        <f>Y4*D80</f>
        <v>0</v>
      </c>
      <c r="Z11" s="20" t="str">
        <f>IF(Etusivu!A8=N57,AE14,IF(OR(Etusivu!A8=N58,Etusivu!A8=N59),AE15,IF(Etusivu!A8=N60,AE16,"Ei määrämitoissa")))</f>
        <v>Ei määrärajoissa</v>
      </c>
      <c r="AA11">
        <f>Etusivu!M8*Laskenta!D79</f>
        <v>15</v>
      </c>
    </row>
    <row r="12" spans="1:31" ht="15" hidden="1">
      <c r="A12" s="5" t="s">
        <v>39</v>
      </c>
      <c r="B12" s="5" t="s">
        <v>40</v>
      </c>
      <c r="C12" s="5" t="s">
        <v>152</v>
      </c>
      <c r="D12" s="6" t="s">
        <v>20</v>
      </c>
      <c r="E12" s="6">
        <v>223</v>
      </c>
      <c r="F12" s="6">
        <v>69</v>
      </c>
      <c r="G12" s="6">
        <v>93</v>
      </c>
      <c r="H12" s="6">
        <v>119</v>
      </c>
      <c r="I12" s="6">
        <v>92</v>
      </c>
      <c r="J12" s="6">
        <v>125</v>
      </c>
      <c r="K12" s="6">
        <v>158</v>
      </c>
      <c r="L12" s="7"/>
      <c r="M12" s="22" t="s">
        <v>143</v>
      </c>
      <c r="N12" s="22" t="s">
        <v>149</v>
      </c>
      <c r="O12" s="13" t="s">
        <v>146</v>
      </c>
      <c r="S12" s="13" t="s">
        <v>161</v>
      </c>
      <c r="T12" s="13" t="s">
        <v>162</v>
      </c>
      <c r="U12" s="13" t="s">
        <v>163</v>
      </c>
    </row>
    <row r="13" spans="1:31" ht="15" hidden="1">
      <c r="A13" s="5" t="s">
        <v>41</v>
      </c>
      <c r="B13" s="5" t="s">
        <v>42</v>
      </c>
      <c r="C13" s="5" t="s">
        <v>153</v>
      </c>
      <c r="D13" s="6" t="s">
        <v>20</v>
      </c>
      <c r="E13" s="6">
        <v>237</v>
      </c>
      <c r="F13" s="6">
        <v>79</v>
      </c>
      <c r="G13" s="6">
        <v>104</v>
      </c>
      <c r="H13" s="6">
        <v>128</v>
      </c>
      <c r="I13" s="6">
        <v>105</v>
      </c>
      <c r="J13" s="6">
        <v>138</v>
      </c>
      <c r="K13" s="6">
        <v>171</v>
      </c>
      <c r="L13" s="7"/>
      <c r="M13" s="25" t="str">
        <f>IF(AND(Etusivu!B8&gt;=600,Etusivu!B8&lt;=800),E4,IF(AND(Etusivu!B8&gt;=801,Etusivu!B8&lt;=1000),E5,IF(AND(Etusivu!B8&gt;=1001,Etusivu!B8&lt;=1200),E6,IF(AND(Etusivu!B8&gt;=1201,Etusivu!B8&lt;=1400),E7,IF(AND(Etusivu!B8&gt;=1401,Etusivu!B8&lt;=1600),E8,"Leveys ei määrärajoissa")))))</f>
        <v>Leveys ei määrärajoissa</v>
      </c>
      <c r="N13" s="16">
        <f>IF(AND(Etusivu!B8&gt;=900,Etusivu!B8&lt;=1000),E10,IF(AND(Etusivu!B8&gt;=1001,Etusivu!B8&lt;=1200),E11,IF(AND(Etusivu!B8&gt;=1201,Etusivu!B8&lt;=1400),E12,IF(AND(Etusivu!B8&gt;=1401,Etusivu!B8&lt;=1600),E13,IF(AND(Etusivu!B8&gt;=1601,Etusivu!B8&lt;=1800),E14,IF(AND(Etusivu!B8&gt;=1801,Etusivu!B8&lt;=2000),E15,"Leveys ei määrärajoissa"))))))</f>
        <v>264</v>
      </c>
      <c r="O13" s="16" t="str">
        <f>IF(Etusivu!B8=1205,E24,IF(Etusivu!B8=1405,E25,IF(Etusivu!B8=1605,E26,"Leveys ei määrärajoissa")))</f>
        <v>Leveys ei määrärajoissa</v>
      </c>
      <c r="P13" s="13" t="s">
        <v>14</v>
      </c>
      <c r="Q13" s="13" t="s">
        <v>15</v>
      </c>
      <c r="R13" s="13" t="s">
        <v>16</v>
      </c>
      <c r="S13" s="13" t="str">
        <f>IF(AND(Etusivu!B8&gt;=600,Etusivu!B8&lt;=800)*AND(Etusivu!A8=N57),N64,IF(AND(Etusivu!B8&gt;=801,Etusivu!B8&lt;=1000)*AND(Etusivu!A8=N57),N65,IF(AND(Etusivu!B8&gt;=1001,Etusivu!B8&lt;=1200)*AND(Etusivu!A8=N57),N66,IF(AND(Etusivu!B8&gt;=1201,Etusivu!B8&lt;=1400)*AND(Etusivu!A8=N57),N67,IF(AND(Etusivu!B8&gt;=1401,Etusivu!B8&lt;=1600)*AND(Etusivu!A8=N57),N68,"Leveys ei määrärajoissa")))))</f>
        <v>Leveys ei määrärajoissa</v>
      </c>
      <c r="T13" s="13">
        <f>IF(AND(Etusivu!B8&gt;=900,Etusivu!B8&lt;=1000)*AND(OR(Etusivu!A8=N58,Etusivu!A8=N59)),O65,IF(AND(Etusivu!B8&gt;=1001,Etusivu!B8&lt;=1200)*AND(OR(Etusivu!A8=N58,Etusivu!A8=N59)),O66,IF(AND(Etusivu!B8&gt;=1201,Etusivu!B8&lt;=1400)*AND(OR(Etusivu!A8=N58,Etusivu!A8=N59)),O67,IF(AND(Etusivu!B8&gt;=1401,Etusivu!B8&lt;=1600)*AND(OR(Etusivu!A8=N58,Etusivu!A8=N59)),O68,IF(AND(Etusivu!B8&gt;=1601,Etusivu!B8&lt;=1800)*AND(OR(Etusivu!A8=N58,Etusivu!A8=N59)),O69,IF(AND(Etusivu!B8&gt;=1801,Etusivu!B8&lt;=2000)*AND(OR(Etusivu!A8=N58,Etusivu!A8=N59)),O70,"Leveys ei määrärajoissa"))))))</f>
        <v>3</v>
      </c>
      <c r="U13" s="13" t="str">
        <f>IF(Etusivu!B8=1205*AND(Etusivu!A8=N60),P66,IF(Etusivu!B8=1405*AND(Etusivu!A8=N60),P67,IF(Etusivu!B8=1605*AND(Etusivu!A8=N60),P68,"Leveys ei määrärajoissa")))</f>
        <v>Leveys ei määrärajoissa</v>
      </c>
      <c r="AA13" s="16"/>
      <c r="AB13" s="13" t="s">
        <v>14</v>
      </c>
      <c r="AC13" s="13" t="s">
        <v>15</v>
      </c>
      <c r="AD13" s="13" t="s">
        <v>16</v>
      </c>
    </row>
    <row r="14" spans="1:31" ht="15" hidden="1">
      <c r="A14" s="5" t="s">
        <v>43</v>
      </c>
      <c r="B14" s="5" t="s">
        <v>44</v>
      </c>
      <c r="C14" s="5" t="s">
        <v>154</v>
      </c>
      <c r="D14" s="6" t="s">
        <v>20</v>
      </c>
      <c r="E14" s="6">
        <v>248</v>
      </c>
      <c r="F14" s="6">
        <v>89</v>
      </c>
      <c r="G14" s="6">
        <v>114</v>
      </c>
      <c r="H14" s="6">
        <v>138</v>
      </c>
      <c r="I14" s="6">
        <v>119</v>
      </c>
      <c r="J14" s="6">
        <v>152</v>
      </c>
      <c r="K14" s="6">
        <v>185</v>
      </c>
      <c r="L14" s="7"/>
      <c r="M14" s="21"/>
      <c r="O14" s="18" t="s">
        <v>143</v>
      </c>
      <c r="P14" s="13" t="str">
        <f>IF(AND(Etusivu!B8&gt;=600,Etusivu!B8&lt;=800)*AND(Etusivu!E8&gt;=30,Etusivu!E8&lt;=150),F4,IF(AND(Etusivu!B8&gt;=801,Etusivu!B8&lt;=1000)*AND(Etusivu!E8&gt;=30,Etusivu!E8&lt;=150),F5,IF(AND(Etusivu!B8&gt;=1001,Etusivu!B8&lt;=1200)*AND(Etusivu!E8&gt;=30,Etusivu!E8&lt;=150),F6,IF(AND(Etusivu!B8&gt;=1201,Etusivu!B8&lt;=1400)*AND(Etusivu!E8&gt;=30,Etusivu!E8&lt;=150),F7,IF(AND(Etusivu!B8&gt;=1401,Etusivu!B8&lt;=1600)*AND(Etusivu!E8&gt;=30,Etusivu!E8&lt;=150),F8,IF(AND(Etusivu!B8&gt;=600,Etusivu!B8&lt;=800)*AND(Etusivu!E8&gt;=151,Etusivu!E8&lt;=200),I4,IF(AND(Etusivu!B8&gt;=801,Etusivu!B8&lt;=1000)*AND(Etusivu!E8&gt;=151,Etusivu!E8&lt;=200),I5,IF(AND(Etusivu!B8&gt;=1001,Etusivu!B8&lt;=1200)*AND(Etusivu!E8&gt;=151,Etusivu!E8&lt;=200),I6,IF(AND(Etusivu!B8&gt;=1201,Etusivu!B8&lt;=1400)*AND(Etusivu!E8&gt;=151,Etusivu!E8&lt;=200),I7,IF(AND(Etusivu!B8&gt;=1401,Etusivu!B8&lt;=1600)*AND(Etusivu!E8&gt;=151,Etusivu!E8&lt;=200),I8,"Ei määrärajoissa"))))))))))</f>
        <v>Ei määrärajoissa</v>
      </c>
      <c r="Q14" s="16" t="str">
        <f>IF(AND(Etusivu!B8&gt;=600,Etusivu!B8&lt;=800)*AND(Etusivu!E8&gt;=30,Etusivu!E8&lt;=150),G4,IF(AND(Etusivu!B8&gt;=801,Etusivu!B8&lt;=1000)*AND(Etusivu!E8&gt;=30,Etusivu!E8&lt;=150),G5,IF(AND(Etusivu!B8&gt;=1001,Etusivu!B8&lt;=1200)*AND(Etusivu!E8&gt;=30,Etusivu!E8&lt;=150),G6,IF(AND(Etusivu!B8&gt;=1201,Etusivu!B8&lt;=1400)*AND(Etusivu!E8&gt;=30,Etusivu!E8&lt;=150),G7,IF(AND(Etusivu!B8&gt;=1401,Etusivu!B8&lt;=1600)*AND(Etusivu!E8&gt;=30,Etusivu!E8&lt;=150),G8,IF(AND(Etusivu!B8&gt;=600,Etusivu!B8&lt;=800)*AND(Etusivu!E8&gt;=151,Etusivu!E8&lt;=200),J4,IF(AND(Etusivu!B8&gt;=801,Etusivu!B8&lt;=1000)*AND(Etusivu!E8&gt;=151,Etusivu!E8&lt;=200),J5,IF(AND(Etusivu!B8&gt;=1001,Etusivu!B8&lt;=1200)*AND(Etusivu!E8&gt;=151,Etusivu!E8&lt;=200),J6,IF(AND(Etusivu!B8&gt;=1201,Etusivu!B8&lt;=1400)*AND(Etusivu!E8&gt;=151,Etusivu!E8&lt;=200),J7,IF(AND(Etusivu!B8&gt;=1401,Etusivu!B8&lt;=1600)*AND(Etusivu!E8&gt;=151,Etusivu!E8&lt;=200),J8,"Ei määrärajoissa"))))))))))</f>
        <v>Ei määrärajoissa</v>
      </c>
      <c r="R14" s="16" t="str">
        <f>IF(AND(Etusivu!B8&gt;=600,Etusivu!B8&lt;=800)*AND(Etusivu!E8&gt;=30,Etusivu!E8&lt;=150),H4,IF(AND(Etusivu!B8&gt;=801,Etusivu!B8&lt;=1000)*AND(Etusivu!E8&gt;=30,Etusivu!E8&lt;=150),H5,IF(AND(Etusivu!B8&gt;=1001,Etusivu!B8&lt;=1200)*AND(Etusivu!E8&gt;=30,Etusivu!E8&lt;=150),H6,IF(AND(Etusivu!B8&gt;=1201,Etusivu!B8&lt;=1400)*AND(Etusivu!E8&gt;=30,Etusivu!E8&lt;=150),H7,IF(AND(Etusivu!B8&gt;=1401,Etusivu!B8&lt;=1600)*AND(Etusivu!E8&gt;=30,Etusivu!E8&lt;=150),H8,IF(AND(Etusivu!B8&gt;=600,Etusivu!B8&lt;=800)*AND(Etusivu!E8&gt;=151,Etusivu!E8&lt;=200),K4,IF(AND(Etusivu!B8&gt;=801,Etusivu!B8&lt;=1000)*AND(Etusivu!E8&gt;=151,Etusivu!E8&lt;=200),K5,IF(AND(Etusivu!B8&gt;=1001,Etusivu!B8&lt;=1200)*AND(Etusivu!E8&gt;=151,Etusivu!E8&lt;=200),K6,IF(AND(Etusivu!B8&gt;=1201,Etusivu!B8&lt;=1400)*AND(Etusivu!E8&gt;=151,Etusivu!E8&lt;=200),K7,IF(AND(Etusivu!B8&gt;=1401,Etusivu!B8&lt;=1600)*AND(Etusivu!E8&gt;=151,Etusivu!E8&lt;=200),K8,"Ei määrärajoissa"))))))))))</f>
        <v>Ei määrärajoissa</v>
      </c>
      <c r="S14" s="18" t="str">
        <f>IF(Etusivu!D8=Laskenta!N73,Laskenta!P14,IF(OR(Etusivu!D8=Laskenta!N74,Etusivu!D8=Laskenta!N75),Laskenta!Q14,IF(Etusivu!D8=Laskenta!N76,Laskenta!R14,IF(Etusivu!D8=N77,0,"Ei määrärajoissa"))))</f>
        <v>Ei määrärajoissa</v>
      </c>
      <c r="AA14" s="18" t="s">
        <v>143</v>
      </c>
      <c r="AB14" s="13" t="str">
        <f>IF(AND(Etusivu!B8&gt;=600,Etusivu!B8&lt;=800)*AND(Etusivu!G8&gt;=30,Etusivu!G8&lt;=150),F4,IF(AND(Etusivu!B8&gt;=801,Etusivu!B8&lt;=1000)*AND(Etusivu!G8&gt;=30,Etusivu!G8&lt;=150),F5,IF(AND(Etusivu!B8&gt;=1001,Etusivu!B8&lt;=1200)*AND(Etusivu!G8&gt;=30,Etusivu!G8&lt;=150),F6,IF(AND(Etusivu!B8&gt;=1201,Etusivu!B8&lt;=1400)*AND(Etusivu!G8&gt;=30,Etusivu!G8&lt;=150),F7,IF(AND(Etusivu!B8&gt;=1401,Etusivu!B8&lt;=1600)*AND(Etusivu!G8&gt;=30,Etusivu!G8&lt;=150),F8,IF(AND(Etusivu!B8&gt;=600,Etusivu!B8&lt;=800)*AND(Etusivu!G8&gt;=151,Etusivu!G8&lt;=200),I4,IF(AND(Etusivu!B8&gt;=801,Etusivu!B8&lt;=1000)*AND(Etusivu!G8&gt;=151,Etusivu!G8&lt;=200),I5,IF(AND(Etusivu!B8&gt;=1001,Etusivu!B8&lt;=1200)*AND(Etusivu!G8&gt;=151,Etusivu!G8&lt;=200),I6,IF(AND(Etusivu!B8&gt;=1201,Etusivu!B8&lt;=1400)*AND(Etusivu!G8&gt;=151,Etusivu!G8&lt;=200),I7,IF(AND(Etusivu!B8&gt;=1401,Etusivu!B8&lt;=1600)*AND(Etusivu!G8&gt;=151,Etusivu!G8&lt;=200),I8,"Ei määrärajoissa"))))))))))</f>
        <v>Ei määrärajoissa</v>
      </c>
      <c r="AC14" s="16" t="str">
        <f>IF(AND(Etusivu!B8&gt;=600,Etusivu!B8&lt;=800)*AND(Etusivu!G8&gt;=30,Etusivu!G8&lt;=150),G4,IF(AND(Etusivu!B8&gt;=801,Etusivu!B8&lt;=1000)*AND(Etusivu!G8&gt;=30,Etusivu!G8&lt;=150),G5,IF(AND(Etusivu!B8&gt;=1001,Etusivu!B8&lt;=1200)*AND(Etusivu!G8&gt;=30,Etusivu!G8&lt;=150),G6,IF(AND(Etusivu!B8&gt;=1201,Etusivu!B8&lt;=1400)*AND(Etusivu!G8&gt;=30,Etusivu!G8&lt;=150),G7,IF(AND(Etusivu!B8&gt;=1401,Etusivu!B8&lt;=1600)*AND(Etusivu!G8&gt;=30,Etusivu!G8&lt;=150),G8,IF(AND(Etusivu!B8&gt;=600,Etusivu!B8&lt;=800)*AND(Etusivu!G8&gt;=151,Etusivu!G8&lt;=200),J4,IF(AND(Etusivu!B8&gt;=801,Etusivu!B8&lt;=1000)*AND(Etusivu!G8&gt;=151,Etusivu!G8&lt;=200),J5,IF(AND(Etusivu!B8&gt;=1001,Etusivu!B8&lt;=1200)*AND(Etusivu!G8&gt;=151,Etusivu!G8&lt;=200),J6,IF(AND(Etusivu!B8&gt;=1201,Etusivu!B8&lt;=1400)*AND(Etusivu!G8&gt;=151,Etusivu!G8&lt;=200),J7,IF(AND(Etusivu!B8&gt;=1401,Etusivu!B8&lt;=1600)*AND(Etusivu!G8&gt;=151,Etusivu!G8&lt;=200),J8,"Ei määrärajoissa"))))))))))</f>
        <v>Ei määrärajoissa</v>
      </c>
      <c r="AD14" s="16" t="str">
        <f>IF(AND(Etusivu!B8&gt;=600,Etusivu!B8&lt;=800)*AND(Etusivu!G8&gt;=30,Etusivu!G8&lt;=150),H4,IF(AND(Etusivu!B8&gt;=801,Etusivu!B8&lt;=1000)*AND(Etusivu!G8&gt;=30,Etusivu!G8&lt;=150),H5,IF(AND(Etusivu!B8&gt;=1001,Etusivu!B8&lt;=1200)*AND(Etusivu!G8&gt;=30,Etusivu!G8&lt;=150),H6,IF(AND(Etusivu!B8&gt;=1201,Etusivu!B8&lt;=1400)*AND(Etusivu!G8&gt;=30,Etusivu!G8&lt;=150),H7,IF(AND(Etusivu!B8&gt;=1401,Etusivu!B8&lt;=1600)*AND(Etusivu!G8&gt;=30,Etusivu!G8&lt;=150),H8,IF(AND(Etusivu!B8&gt;=600,Etusivu!B8&lt;=800)*AND(Etusivu!G8&gt;=151,Etusivu!G8&lt;=200),K4,IF(AND(Etusivu!B8&gt;=801,Etusivu!B8&lt;=1000)*AND(Etusivu!G8&gt;=151,Etusivu!G8&lt;=200),K5,IF(AND(Etusivu!B8&gt;=1001,Etusivu!B8&lt;=1200)*AND(Etusivu!G8&gt;=151,Etusivu!G8&lt;=200),K6,IF(AND(Etusivu!B8&gt;=1201,Etusivu!B8&lt;=1400)*AND(Etusivu!G8&gt;=151,Etusivu!G8&lt;=200),K7,IF(AND(Etusivu!B8&gt;=1401,Etusivu!B8&lt;=1600)*AND(Etusivu!G8&gt;=151,Etusivu!G8&lt;=200),K8,"Ei määrärajoissa"))))))))))</f>
        <v>Ei määrärajoissa</v>
      </c>
      <c r="AE14" t="str">
        <f>IF(Etusivu!F8=Laskenta!N106,Laskenta!AB14,IF(OR(Etusivu!F8=Laskenta!N107,Etusivu!F8=Laskenta!N108),Laskenta!AC14,IF(Etusivu!F8=Laskenta!N109,Laskenta!AD14,IF(Etusivu!F8=N110,0,"Ei määrärajoissa"))))</f>
        <v>Ei määrärajoissa</v>
      </c>
    </row>
    <row r="15" spans="1:31" ht="15" hidden="1">
      <c r="A15" s="5" t="s">
        <v>45</v>
      </c>
      <c r="B15" s="5" t="s">
        <v>46</v>
      </c>
      <c r="C15" s="5" t="s">
        <v>155</v>
      </c>
      <c r="D15" s="6" t="s">
        <v>20</v>
      </c>
      <c r="E15" s="6">
        <v>264</v>
      </c>
      <c r="F15" s="6">
        <v>99</v>
      </c>
      <c r="G15" s="6">
        <v>123</v>
      </c>
      <c r="H15" s="6">
        <v>149</v>
      </c>
      <c r="I15" s="6">
        <v>132</v>
      </c>
      <c r="J15" s="6">
        <v>164</v>
      </c>
      <c r="K15" s="6">
        <v>197</v>
      </c>
      <c r="L15" s="7"/>
      <c r="M15" s="21"/>
      <c r="O15" s="18" t="s">
        <v>149</v>
      </c>
      <c r="P15" s="16">
        <f>IF(AND(Etusivu!B8&gt;=900,Etusivu!B8&lt;=1000)*AND(Etusivu!E8&gt;=30,Etusivu!E8&lt;=150),F10,IF(AND(Etusivu!B8&gt;=1001,Etusivu!B8&lt;=1200)*AND(Etusivu!E8&gt;=30,Etusivu!E8&lt;=150),F11,IF(AND(Etusivu!B8&gt;=1201,Etusivu!B8&lt;=1400)*AND(Etusivu!E8&gt;=30,Etusivu!E8&lt;=150),F12,IF(AND(Etusivu!B8&gt;=1401,Etusivu!B8&lt;=1600)*AND(Etusivu!E8&gt;=30,Etusivu!E8&lt;=150),F13,IF(AND(Etusivu!B8&gt;=1601,Etusivu!B8&lt;=1800)*AND(Etusivu!E8&gt;=30,Etusivu!E8&lt;=150),F14,IF(AND(Etusivu!B8&gt;=1801,Etusivu!B8&lt;=2000)*AND(Etusivu!E8&gt;=30,Etusivu!E8&lt;=150),F15,IF(AND(Etusivu!B8&gt;=900,Etusivu!B8&lt;=1000)*AND(Etusivu!E8&gt;=151,Etusivu!E8&lt;=200),I10,IF(AND(Etusivu!B8&gt;=1001,Etusivu!B8&lt;=1200)*AND(Etusivu!E8&gt;=151,Etusivu!E8&lt;=200),I11,IF(AND(Etusivu!B8&gt;=1201,Etusivu!B8&lt;=1400)*AND(Etusivu!E8&gt;=151,Etusivu!E8&lt;=200),I12,IF(AND(Etusivu!B8&gt;=1401,Etusivu!B8&lt;=1600)*AND(Etusivu!E8&gt;=151,Etusivu!E8&lt;=200),I13,IF(AND(Etusivu!B8&gt;=1601,Etusivu!B8&lt;=1800)*AND(Etusivu!E8&gt;=151,Etusivu!E8&lt;=200),I14,IF(AND(Etusivu!B8&gt;=1801,Etusivu!B8&lt;=2000)*AND(Etusivu!E8&gt;=151,Etusivu!E8&lt;=200),I15,"Ei määrärajoissa"))))))))))))</f>
        <v>99</v>
      </c>
      <c r="Q15" s="13">
        <f>IF(AND(Etusivu!B8&gt;=900,Etusivu!B8&lt;=1000)*AND(Etusivu!E8&gt;=30,Etusivu!E8&lt;=150),G10,IF(AND(Etusivu!B8&gt;=1001,Etusivu!B8&lt;=1200)*AND(Etusivu!E8&gt;=30,Etusivu!E8&lt;=150),G11,IF(AND(Etusivu!B8&gt;=1201,Etusivu!B8&lt;=1400)*AND(Etusivu!E8&gt;=30,Etusivu!E8&lt;=150),G12,IF(AND(Etusivu!B8&gt;=1401,Etusivu!B8&lt;=1600)*AND(Etusivu!E8&gt;=30,Etusivu!E8&lt;=150),G13,IF(AND(Etusivu!B8&gt;=1601,Etusivu!B8&lt;=1800)*AND(Etusivu!E8&gt;=30,Etusivu!E8&lt;=150),G14,IF(AND(Etusivu!B8&gt;=1801,Etusivu!B8&lt;=2000)*AND(Etusivu!E8&gt;=30,Etusivu!E8&lt;=150),G15,IF(AND(Etusivu!B8&gt;=900,Etusivu!B8&lt;=1000)*AND(Etusivu!E8&gt;=151,Etusivu!E8&lt;=200),J10,IF(AND(Etusivu!B8&gt;=1001,Etusivu!B8&lt;=1200)*AND(Etusivu!E8&gt;=151,Etusivu!E8&lt;=200),J11,IF(AND(Etusivu!B8&gt;=1201,Etusivu!B8&lt;=1400)*AND(Etusivu!E8&gt;=151,Etusivu!E8&lt;=200),J12,IF(AND(Etusivu!B8&gt;=1401,Etusivu!B8&lt;=1600)*AND(Etusivu!E8&gt;=151,Etusivu!E8&lt;=200),J13,IF(AND(Etusivu!B8&gt;=1601,Etusivu!B8&lt;=1800)*AND(Etusivu!E8&gt;=151,Etusivu!E8&lt;=200),J14,IF(AND(Etusivu!B8&gt;=1801,Etusivu!B8&lt;=2000)*AND(Etusivu!E8&gt;=151,Etusivu!E8&lt;=200),J15,"Ei määrärajoissa"))))))))))))</f>
        <v>123</v>
      </c>
      <c r="R15" s="13">
        <f>IF(AND(Etusivu!B8&gt;=900,Etusivu!B8&lt;=1000)*AND(Etusivu!E8&gt;=30,Etusivu!E8&lt;=150),H10,IF(AND(Etusivu!B8&gt;=1001,Etusivu!B8&lt;=1200)*AND(Etusivu!E8&gt;=30,Etusivu!E8&lt;=150),H11,IF(AND(Etusivu!B8&gt;=1201,Etusivu!B8&lt;=1400)*AND(Etusivu!E8&gt;=30,Etusivu!E8&lt;=150),H12,IF(AND(Etusivu!B8&gt;=1401,Etusivu!B8&lt;=1600)*AND(Etusivu!E8&gt;=30,Etusivu!E8&lt;=150),H13,IF(AND(Etusivu!B8&gt;=1601,Etusivu!B8&lt;=1800)*AND(Etusivu!E8&gt;=30,Etusivu!E8&lt;=150),H14,IF(AND(Etusivu!B8&gt;=1801,Etusivu!B8&lt;=2000)*AND(Etusivu!E8&gt;=30,Etusivu!E8&lt;=150),H15,IF(AND(Etusivu!B8&gt;=900,Etusivu!B8&lt;=1000)*AND(Etusivu!E8&gt;=151,Etusivu!E8&lt;=200),K10,IF(AND(Etusivu!B8&gt;=1001,Etusivu!B8&lt;=1200)*AND(Etusivu!E8&gt;=151,Etusivu!E8&lt;=200),K11,IF(AND(Etusivu!B8&gt;=1201,Etusivu!B8&lt;=1400)*AND(Etusivu!E8&gt;=151,Etusivu!E8&lt;=200),K12,IF(AND(Etusivu!B8&gt;=1401,Etusivu!B8&lt;=1600)*AND(Etusivu!E8&gt;=151,Etusivu!E8&lt;=200),K13,IF(AND(Etusivu!B8&gt;=1601,Etusivu!B8&lt;=1800)*AND(Etusivu!E8&gt;=151,Etusivu!E8&lt;=200),K14,IF(AND(Etusivu!B8&gt;=1801,Etusivu!B8&lt;=2000)*AND(Etusivu!E8&gt;=151,Etusivu!E8&lt;=200),K15,"Ei määrärajoissa"))))))))))))</f>
        <v>149</v>
      </c>
      <c r="S15" t="str">
        <f>IF(Etusivu!D8=Laskenta!N73,Laskenta!P15,IF(OR(Etusivu!D8=Laskenta!N74,Etusivu!D8=Laskenta!N75),Laskenta!Q15,IF(Etusivu!D8=Laskenta!N76,Laskenta!R15,IF(Etusivu!D8=N77,0,"Ei määrärajoissa"))))</f>
        <v>Ei määrärajoissa</v>
      </c>
      <c r="AA15" s="18" t="s">
        <v>149</v>
      </c>
      <c r="AB15" s="16">
        <f>IF(AND(Etusivu!B8&gt;=900,Etusivu!B8&lt;=1000)*AND(Etusivu!G8&gt;=30,Etusivu!G8&lt;=150),F10,IF(AND(Etusivu!B8&gt;=1001,Etusivu!B8&lt;=1200)*AND(Etusivu!G8&gt;=30,Etusivu!G8&lt;=150),F11,IF(AND(Etusivu!B8&gt;=1201,Etusivu!B8&lt;=1400)*AND(Etusivu!G8&gt;=30,Etusivu!G8&lt;=150),F12,IF(AND(Etusivu!B8&gt;=1401,Etusivu!B8&lt;=1600)*AND(Etusivu!G8&gt;=30,Etusivu!G8&lt;=150),F13,IF(AND(Etusivu!B8&gt;=1601,Etusivu!B8&lt;=1800)*AND(Etusivu!G8&gt;=30,Etusivu!G8&lt;=150),F14,IF(AND(Etusivu!B8&gt;=1801,Etusivu!B8&lt;=2000)*AND(Etusivu!G8&gt;=30,Etusivu!G8&lt;=150),F15,IF(AND(Etusivu!B8&gt;=900,Etusivu!B8&lt;=1000)*AND(Etusivu!G8&gt;=151,Etusivu!G8&lt;=200),I10,IF(AND(Etusivu!B8&gt;=1001,Etusivu!B8&lt;=1200)*AND(Etusivu!G8&gt;=151,Etusivu!G8&lt;=200),I11,IF(AND(Etusivu!B8&gt;=1201,Etusivu!B8&lt;=1400)*AND(Etusivu!G8&gt;=151,Etusivu!G8&lt;=200),I12,IF(AND(Etusivu!B8&gt;=1401,Etusivu!B8&lt;=1600)*AND(Etusivu!G8&gt;=151,Etusivu!G8&lt;=200),I13,IF(AND(Etusivu!B8&gt;=1601,Etusivu!B8&lt;=1800)*AND(Etusivu!G8&gt;=151,Etusivu!G8&lt;=200),I14,IF(AND(Etusivu!B8&gt;=1801,Etusivu!B8&lt;=2000)*AND(Etusivu!G8&gt;=151,Etusivu!G8&lt;=200),I15,"Ei määrärajoissa"))))))))))))</f>
        <v>132</v>
      </c>
      <c r="AC15" s="13">
        <f>IF(AND(Etusivu!B8&gt;=900,Etusivu!B8&lt;=1000)*AND(Etusivu!G8&gt;=30,Etusivu!G8&lt;=150),G10,IF(AND(Etusivu!B8&gt;=1001,Etusivu!B8&lt;=1200)*AND(Etusivu!G8&gt;=30,Etusivu!G8&lt;=150),G11,IF(AND(Etusivu!B8&gt;=1201,Etusivu!B8&lt;=1400)*AND(Etusivu!G8&gt;=30,Etusivu!G8&lt;=150),G12,IF(AND(Etusivu!B8&gt;=1401,Etusivu!B8&lt;=1600)*AND(Etusivu!G8&gt;=30,Etusivu!G8&lt;=150),G13,IF(AND(Etusivu!B8&gt;=1601,Etusivu!B8&lt;=1800)*AND(Etusivu!G8&gt;=30,Etusivu!G8&lt;=150),G14,IF(AND(Etusivu!B8&gt;=1801,Etusivu!B8&lt;=2000)*AND(Etusivu!G8&gt;=30,Etusivu!G8&lt;=150),G15,IF(AND(Etusivu!B8&gt;=900,Etusivu!B8&lt;=1000)*AND(Etusivu!G8&gt;=151,Etusivu!G8&lt;=200),J10,IF(AND(Etusivu!B8&gt;=1001,Etusivu!B8&lt;=1200)*AND(Etusivu!G8&gt;=151,Etusivu!G8&lt;=200),J11,IF(AND(Etusivu!B8&gt;=1201,Etusivu!B8&lt;=1400)*AND(Etusivu!G8&gt;=151,Etusivu!G8&lt;=200),J12,IF(AND(Etusivu!B8&gt;=1401,Etusivu!B8&lt;=1600)*AND(Etusivu!G8&gt;=151,Etusivu!G8&lt;=200),J13,IF(AND(Etusivu!B8&gt;=1601,Etusivu!B8&lt;=1800)*AND(Etusivu!G8&gt;=151,Etusivu!G8&lt;=200),J14,IF(AND(Etusivu!B8&gt;=1801,Etusivu!B8&lt;=2000)*AND(Etusivu!G8&gt;=151,Etusivu!G8&lt;=200),J15,"Ei määrärajoissa"))))))))))))</f>
        <v>164</v>
      </c>
      <c r="AD15" s="13">
        <f>IF(AND(Etusivu!B8&gt;=900,Etusivu!B8&lt;=1000)*AND(Etusivu!G8&gt;=30,Etusivu!G8&lt;=150),H10,IF(AND(Etusivu!B8&gt;=1001,Etusivu!B8&lt;=1200)*AND(Etusivu!G8&gt;=30,Etusivu!G8&lt;=150),H11,IF(AND(Etusivu!B8&gt;=1201,Etusivu!B8&lt;=1400)*AND(Etusivu!G8&gt;=30,Etusivu!G8&lt;=150),H12,IF(AND(Etusivu!B8&gt;=1401,Etusivu!B8&lt;=1600)*AND(Etusivu!G8&gt;=30,Etusivu!G8&lt;=150),H13,IF(AND(Etusivu!B8&gt;=1601,Etusivu!B8&lt;=1800)*AND(Etusivu!G8&gt;=30,Etusivu!G8&lt;=150),H14,IF(AND(Etusivu!B8&gt;=1801,Etusivu!B8&lt;=2000)*AND(Etusivu!G8&gt;=30,Etusivu!G8&lt;=150),H15,IF(AND(Etusivu!B8&gt;=900,Etusivu!B8&lt;=1000)*AND(Etusivu!G8&gt;=151,Etusivu!G8&lt;=200),K10,IF(AND(Etusivu!B8&gt;=1001,Etusivu!B8&lt;=1200)*AND(Etusivu!G8&gt;=151,Etusivu!G8&lt;=200),K11,IF(AND(Etusivu!B8&gt;=1201,Etusivu!B8&lt;=1400)*AND(Etusivu!G8&gt;=151,Etusivu!G8&lt;=200),K12,IF(AND(Etusivu!B8&gt;=1401,Etusivu!B8&lt;=1600)*AND(Etusivu!G8&gt;=151,Etusivu!G8&lt;=200),K13,IF(AND(Etusivu!B8&gt;=1601,Etusivu!B8&lt;=1800)*AND(Etusivu!G8&gt;=151,Etusivu!G8&lt;=200),K14,IF(AND(Etusivu!B8&gt;=1801,Etusivu!B8&lt;=2000)*AND(Etusivu!G8&gt;=151,Etusivu!G8&lt;=200),K15,"Ei määrärajoissa"))))))))))))</f>
        <v>197</v>
      </c>
      <c r="AE15" t="str">
        <f>IF(Etusivu!F8=Laskenta!N106,Laskenta!AB15,IF(OR(Etusivu!F8=Laskenta!N107,Etusivu!F8=Laskenta!N108),Laskenta!AC15,IF(Etusivu!F8=Laskenta!N109,Laskenta!AD15,IF(Etusivu!F8=N110,0,"Ei määrärajoissa"))))</f>
        <v>Ei määrärajoissa</v>
      </c>
    </row>
    <row r="16" spans="1:31" ht="15" hidden="1">
      <c r="A16" s="5" t="s">
        <v>47</v>
      </c>
      <c r="B16" s="5"/>
      <c r="C16" s="5"/>
      <c r="D16" s="6"/>
      <c r="E16" s="6"/>
      <c r="F16" s="6"/>
      <c r="G16" s="6"/>
      <c r="H16" s="6"/>
      <c r="I16" s="6"/>
      <c r="J16" s="6"/>
      <c r="K16" s="6"/>
      <c r="L16" s="7"/>
      <c r="O16" s="18" t="s">
        <v>146</v>
      </c>
      <c r="P16" s="13" t="str">
        <f>IF(Etusivu!B8=1205*AND(Etusivu!E8&gt;=30,Etusivu!E8&lt;=150),F24,IF(Etusivu!B8=1405*AND(Etusivu!E8&gt;=30,Etusivu!E8&lt;=150),F25,IF(Etusivu!B8=1605*AND(Etusivu!E8&gt;=30,Etusivu!E8&lt;=150),F26,IF(Etusivu!B8=1205*AND(Etusivu!E8&gt;=151,Etusivu!E8&lt;=200),I24,IF(Etusivu!B8=1405*AND(Etusivu!E8&gt;=151,Etusivu!E8&lt;=200),I25,IF(Etusivu!B8=1605*AND(Etusivu!E8&gt;=151,Etusivu!E8&lt;=200),I26,"Ei määrärajoissa"))))))</f>
        <v>Ei määrärajoissa</v>
      </c>
      <c r="Q16" s="13" t="str">
        <f>IF(Etusivu!B8=1205*AND(Etusivu!E8&gt;=30,Etusivu!E8&lt;=150),G24,IF(Etusivu!B8=1405*AND(Etusivu!E8&gt;=30,Etusivu!E8&lt;=150),G25,IF(Etusivu!B8=1605*AND(Etusivu!E8&gt;=30,Etusivu!E8&lt;=150),G26,IF(Etusivu!B8=1205*AND(Etusivu!E8&gt;=151,Etusivu!E8&lt;=200),J24,IF(Etusivu!B8=1405*AND(Etusivu!E8&gt;=151,Etusivu!E8&lt;=200),J25,IF(Etusivu!B8=1605*AND(Etusivu!E8&gt;=151,Etusivu!E8&lt;=200),J26,"Ei määrärajoissa"))))))</f>
        <v>Ei määrärajoissa</v>
      </c>
      <c r="R16" s="16" t="str">
        <f>IF(Etusivu!B8=1205*AND(Etusivu!E8&gt;=30,Etusivu!E8&lt;=150),H24,IF(Etusivu!B8=1405*AND(Etusivu!E8&gt;=30,Etusivu!E8&lt;=150),H25,IF(Etusivu!B8=1605*AND(Etusivu!E8&gt;=30,Etusivu!E8&lt;=150),H26,IF(Etusivu!B8=1205*AND(Etusivu!E8&gt;=151,Etusivu!E8&lt;=200),K24,IF(Etusivu!B8=1405*AND(Etusivu!E8&gt;=151,Etusivu!E8&lt;=200),K25,IF(Etusivu!B8=1605*AND(Etusivu!E8&gt;=151,Etusivu!E8&lt;=200),K26,"Ei määrärajoissa"))))))</f>
        <v>Ei määrärajoissa</v>
      </c>
      <c r="S16" t="str">
        <f>IF(Etusivu!D8=Laskenta!N73,Laskenta!P16,IF(OR(Etusivu!D8=Laskenta!N74,Etusivu!D8=Laskenta!N75),Laskenta!Q16,IF(Etusivu!D8=Laskenta!N76,Laskenta!R16,IF(Etusivu!D8=N77,0,"Ei määrärajoissa"))))</f>
        <v>Ei määrärajoissa</v>
      </c>
      <c r="AA16" s="18" t="s">
        <v>146</v>
      </c>
      <c r="AB16" s="13" t="str">
        <f>IF(Etusivu!B8=1205*AND(Etusivu!G8&gt;=30,Etusivu!G8&lt;=150),F24,IF(Etusivu!B8=1405*AND(Etusivu!G8&gt;=30,Etusivu!G8&lt;=150),F25,IF(Etusivu!B8=1605*AND(Etusivu!G8&gt;=30,Etusivu!G8&lt;=150),F26,IF(Etusivu!B8=1205*AND(Etusivu!G8&gt;=151,Etusivu!G8&lt;=200),I24,IF(Etusivu!B8=1405*AND(Etusivu!G8&gt;=151,Etusivu!G8&lt;=200),I25,IF(Etusivu!B8=1605*AND(Etusivu!G8&gt;=151,Etusivu!G8&lt;=200),I26,"Ei määrärajoissa"))))))</f>
        <v>Ei määrärajoissa</v>
      </c>
      <c r="AC16" s="13" t="str">
        <f>IF(Etusivu!B8=1205*AND(Etusivu!G8&gt;=30,Etusivu!G8&lt;=150),G24,IF(Etusivu!B8=1405*AND(Etusivu!G8&gt;=30,Etusivu!G8&lt;=150),G25,IF(Etusivu!B8=1605*AND(Etusivu!G8&gt;=30,Etusivu!G8&lt;=150),G26,IF(Etusivu!B8=1205*AND(Etusivu!G8&gt;=151,Etusivu!G8&lt;=200),J24,IF(Etusivu!B8=1405*AND(Etusivu!G8&gt;=151,Etusivu!G8&lt;=200),J25,IF(Etusivu!B8=1605*AND(Etusivu!G8&gt;=151,Etusivu!G8&lt;=200),J26,"Ei määrärajoissa"))))))</f>
        <v>Ei määrärajoissa</v>
      </c>
      <c r="AD16" s="16" t="str">
        <f>IF(Etusivu!B8=1205*AND(Etusivu!G8&gt;=30,Etusivu!G8&lt;=150),H24,IF(Etusivu!B8=1405*AND(Etusivu!G8&gt;=30,Etusivu!G8&lt;=150),H25,IF(Etusivu!B8=1605*AND(Etusivu!G8&gt;=30,Etusivu!G8&lt;=150),H26,IF(Etusivu!B8=1205*AND(Etusivu!G8&gt;=151,Etusivu!G8&lt;=200),K24,IF(Etusivu!B8=1405*AND(Etusivu!G8&gt;=151,Etusivu!G8&lt;=200),K25,IF(Etusivu!B8=1605*AND(Etusivu!G8&gt;=151,Etusivu!G8&lt;=200),K26,"Ei määrärajoissa"))))))</f>
        <v>Ei määrärajoissa</v>
      </c>
      <c r="AE16" t="str">
        <f>IF(Etusivu!F8=Laskenta!N106,Laskenta!AB16,IF(OR(Etusivu!F8=Laskenta!N107,Etusivu!F8=Laskenta!N108),Laskenta!AC16,IF(Etusivu!F8=Laskenta!N109,Laskenta!AD16,IF(Etusivu!F8=N110,0,"Ei määrärajoissa"))))</f>
        <v>Ei määrärajoissa</v>
      </c>
    </row>
    <row r="17" spans="1:27" ht="15" hidden="1">
      <c r="A17" s="5" t="s">
        <v>48</v>
      </c>
      <c r="B17" s="5" t="s">
        <v>49</v>
      </c>
      <c r="C17" s="5" t="s">
        <v>150</v>
      </c>
      <c r="D17" s="6" t="s">
        <v>20</v>
      </c>
      <c r="E17" s="6">
        <v>223</v>
      </c>
      <c r="F17" s="6">
        <v>50</v>
      </c>
      <c r="G17" s="6">
        <v>74</v>
      </c>
      <c r="H17" s="6">
        <v>99</v>
      </c>
      <c r="I17" s="6">
        <v>66</v>
      </c>
      <c r="J17" s="6">
        <v>99</v>
      </c>
      <c r="K17" s="6">
        <v>132</v>
      </c>
      <c r="L17" s="7"/>
    </row>
    <row r="18" spans="1:27" ht="15" hidden="1">
      <c r="A18" s="5" t="s">
        <v>50</v>
      </c>
      <c r="B18" s="5" t="s">
        <v>51</v>
      </c>
      <c r="C18" s="5" t="s">
        <v>151</v>
      </c>
      <c r="D18" s="6" t="s">
        <v>20</v>
      </c>
      <c r="E18" s="6">
        <v>223</v>
      </c>
      <c r="F18" s="6">
        <v>59</v>
      </c>
      <c r="G18" s="6">
        <v>84</v>
      </c>
      <c r="H18" s="6">
        <v>108</v>
      </c>
      <c r="I18" s="6">
        <v>79</v>
      </c>
      <c r="J18" s="6">
        <v>111</v>
      </c>
      <c r="K18" s="6">
        <v>144</v>
      </c>
      <c r="L18" s="7"/>
      <c r="N18" s="54" t="s">
        <v>389</v>
      </c>
      <c r="Q18" s="26" t="s">
        <v>390</v>
      </c>
      <c r="S18" s="26" t="s">
        <v>391</v>
      </c>
      <c r="T18" s="26" t="s">
        <v>392</v>
      </c>
      <c r="U18" s="26" t="s">
        <v>393</v>
      </c>
      <c r="V18" s="26" t="s">
        <v>394</v>
      </c>
      <c r="W18" s="26" t="s">
        <v>395</v>
      </c>
      <c r="X18" s="54" t="s">
        <v>396</v>
      </c>
      <c r="Y18" s="26" t="s">
        <v>397</v>
      </c>
      <c r="Z18" s="26" t="s">
        <v>398</v>
      </c>
      <c r="AA18" s="18" t="s">
        <v>399</v>
      </c>
    </row>
    <row r="19" spans="1:27" ht="15" hidden="1">
      <c r="A19" s="5" t="s">
        <v>52</v>
      </c>
      <c r="B19" s="5" t="s">
        <v>53</v>
      </c>
      <c r="C19" s="5" t="s">
        <v>152</v>
      </c>
      <c r="D19" s="6" t="s">
        <v>20</v>
      </c>
      <c r="E19" s="6">
        <v>223</v>
      </c>
      <c r="F19" s="6">
        <v>69</v>
      </c>
      <c r="G19" s="6">
        <v>93</v>
      </c>
      <c r="H19" s="6">
        <v>119</v>
      </c>
      <c r="I19" s="6">
        <v>92</v>
      </c>
      <c r="J19" s="6">
        <v>125</v>
      </c>
      <c r="K19" s="6">
        <v>158</v>
      </c>
      <c r="L19" s="7"/>
      <c r="N19" s="55">
        <f>IF(ISNUMBER(N11),N11*1.015*2.73,"Ei määrämitoissa")</f>
        <v>731.53079999999989</v>
      </c>
      <c r="Q19" s="16" t="str">
        <f>IF(ISNUMBER(Q11),Q11*1.015*2.7,"Ei määrämitoissa")</f>
        <v>Ei määrämitoissa</v>
      </c>
      <c r="R19" s="16"/>
      <c r="S19" s="16">
        <f>S11*1.015*2.7</f>
        <v>104.13899999999998</v>
      </c>
      <c r="T19" s="16" t="e">
        <f>T11*1.015*2.7</f>
        <v>#VALUE!</v>
      </c>
      <c r="U19" s="16">
        <f>IF(ISNUMBER(U11),U11*1.015*2.7,"Ei määrämitoissa")</f>
        <v>131.54400000000001</v>
      </c>
      <c r="V19" s="16">
        <f>IF(Etusivu!D8=Laskenta!N77,"Vaatii etureunan",V11*1.015*2.7)</f>
        <v>98.658000000000001</v>
      </c>
      <c r="W19" s="16">
        <f>IF(Etusivu!D8=Laskenta!N77,"Vaatii etureunan",W11*1.015*2.7)</f>
        <v>194.57550000000001</v>
      </c>
      <c r="X19" s="16">
        <f>X11*1.015*2.7</f>
        <v>109.61999999999999</v>
      </c>
      <c r="Y19" s="72">
        <f>Y11*1.015*2.7</f>
        <v>0</v>
      </c>
      <c r="Z19" s="16" t="str">
        <f>IF(ISNUMBER(Z11),Z11*1.015*2.7,"Ei määrämitoissa")</f>
        <v>Ei määrämitoissa</v>
      </c>
      <c r="AA19">
        <f>AA11*1.015*2.7</f>
        <v>41.107499999999995</v>
      </c>
    </row>
    <row r="20" spans="1:27" ht="15" hidden="1">
      <c r="A20" s="5" t="s">
        <v>54</v>
      </c>
      <c r="B20" s="5" t="s">
        <v>55</v>
      </c>
      <c r="C20" s="5" t="s">
        <v>153</v>
      </c>
      <c r="D20" s="6" t="s">
        <v>20</v>
      </c>
      <c r="E20" s="6">
        <v>237</v>
      </c>
      <c r="F20" s="6">
        <v>79</v>
      </c>
      <c r="G20" s="6">
        <v>104</v>
      </c>
      <c r="H20" s="6">
        <v>128</v>
      </c>
      <c r="I20" s="6">
        <v>105</v>
      </c>
      <c r="J20" s="6">
        <v>138</v>
      </c>
      <c r="K20" s="6">
        <v>171</v>
      </c>
      <c r="L20" s="7"/>
      <c r="Q20" s="33"/>
    </row>
    <row r="21" spans="1:27" ht="15.75" hidden="1" thickBot="1">
      <c r="A21" s="5" t="s">
        <v>56</v>
      </c>
      <c r="B21" s="5" t="s">
        <v>57</v>
      </c>
      <c r="C21" s="5" t="s">
        <v>154</v>
      </c>
      <c r="D21" s="6" t="s">
        <v>20</v>
      </c>
      <c r="E21" s="6">
        <v>248</v>
      </c>
      <c r="F21" s="6">
        <v>89</v>
      </c>
      <c r="G21" s="6">
        <v>114</v>
      </c>
      <c r="H21" s="6">
        <v>138</v>
      </c>
      <c r="I21" s="6">
        <v>119</v>
      </c>
      <c r="J21" s="6">
        <v>152</v>
      </c>
      <c r="K21" s="6">
        <v>185</v>
      </c>
      <c r="L21" s="7"/>
      <c r="T21" s="26" t="s">
        <v>286</v>
      </c>
      <c r="U21" s="13"/>
      <c r="V21" s="13"/>
      <c r="W21" s="13"/>
      <c r="X21" s="13"/>
    </row>
    <row r="22" spans="1:27" ht="19.5" hidden="1" thickBot="1">
      <c r="A22" s="5" t="s">
        <v>58</v>
      </c>
      <c r="B22" s="5" t="s">
        <v>59</v>
      </c>
      <c r="C22" s="5" t="s">
        <v>155</v>
      </c>
      <c r="D22" s="6" t="s">
        <v>20</v>
      </c>
      <c r="E22" s="6">
        <v>264</v>
      </c>
      <c r="F22" s="6">
        <v>99</v>
      </c>
      <c r="G22" s="6">
        <v>123</v>
      </c>
      <c r="H22" s="6">
        <v>149</v>
      </c>
      <c r="I22" s="6">
        <v>132</v>
      </c>
      <c r="J22" s="6">
        <v>164</v>
      </c>
      <c r="K22" s="6">
        <v>197</v>
      </c>
      <c r="L22" s="7"/>
      <c r="P22" s="157" t="s">
        <v>128</v>
      </c>
      <c r="Q22" s="158"/>
      <c r="R22" s="159"/>
      <c r="T22" s="13" t="s">
        <v>280</v>
      </c>
      <c r="U22" s="13" t="s">
        <v>281</v>
      </c>
      <c r="V22" s="13" t="s">
        <v>282</v>
      </c>
      <c r="W22" s="13" t="s">
        <v>283</v>
      </c>
      <c r="X22" s="13" t="s">
        <v>287</v>
      </c>
      <c r="Y22" s="26" t="s">
        <v>284</v>
      </c>
      <c r="Z22" s="18" t="s">
        <v>289</v>
      </c>
    </row>
    <row r="23" spans="1:27" ht="15" hidden="1">
      <c r="A23" s="5" t="s">
        <v>60</v>
      </c>
      <c r="B23" s="5"/>
      <c r="C23" s="5"/>
      <c r="D23" s="6"/>
      <c r="E23" s="6"/>
      <c r="F23" s="6"/>
      <c r="G23" s="6"/>
      <c r="H23" s="6"/>
      <c r="I23" s="6"/>
      <c r="J23" s="6"/>
      <c r="K23" s="6"/>
      <c r="L23" s="7"/>
      <c r="P23" s="30">
        <f>SUM(N11:AA11)</f>
        <v>512</v>
      </c>
      <c r="Q23" s="31">
        <f>100*P23/(100-25)</f>
        <v>682.66666666666663</v>
      </c>
      <c r="R23" s="32" t="e">
        <f>SUM(N19:AA19)</f>
        <v>#VALUE!</v>
      </c>
      <c r="T23" s="13">
        <f>(Etusivu!B8/1000)*(Etusivu!C8/1000)</f>
        <v>1</v>
      </c>
      <c r="U23" s="13" t="str">
        <f>IF(Etusivu!D8=Laskenta!N73,(Etusivu!B8/1000)*(Etusivu!E8/1000),IF(OR(Etusivu!D8=Laskenta!N74,Etusivu!D8=Laskenta!N75),(Etusivu!B8/1000)*(Etusivu!E8/1000)+(Etusivu!C8/1000)*(Etusivu!E8/1000),IF(Etusivu!D8=Laskenta!N76,((Etusivu!B8/1000)*(Etusivu!E8/1000)+((Etusivu!C8/1000)*(Etusivu!E8/1000)*2)),"")))</f>
        <v/>
      </c>
      <c r="V23" s="13" t="str">
        <f>IF(Etusivu!F8=Laskenta!N106,(Etusivu!B8/1000)*(Etusivu!G8/1000),IF(OR(Etusivu!F8=Laskenta!N107,Etusivu!F8=Laskenta!N108),(Etusivu!B8/1000)*(Etusivu!G8/1000)+(Etusivu!C8/1000)*(Etusivu!G8/1000),IF(Etusivu!F8=Laskenta!N109,((Etusivu!B8/1000)*(Etusivu!G8/1000)+((Etusivu!C8/1000)*(Etusivu!G8/1000)*2)),"")))</f>
        <v/>
      </c>
      <c r="W23" s="13">
        <v>27</v>
      </c>
      <c r="X23" s="13">
        <v>3</v>
      </c>
      <c r="Y23" s="13">
        <f>ROUNDUP((SUM(T23:V23)*W23+X23),0)</f>
        <v>30</v>
      </c>
      <c r="Z23">
        <f>IF(Etusivu!B8&lt;=1200,Laskenta!B103,IF(AND(Etusivu!B8&gt;=1201,Etusivu!B8&lt;=2000),Laskenta!B104,IF(AND(Etusivu!B8&gt;=2001,Etusivu!B8&lt;=3000),Laskenta!B105,"?")))</f>
        <v>35</v>
      </c>
    </row>
    <row r="24" spans="1:27" ht="15.75" hidden="1" thickBot="1">
      <c r="A24" s="5" t="s">
        <v>61</v>
      </c>
      <c r="B24" s="8" t="s">
        <v>62</v>
      </c>
      <c r="C24" s="5" t="s">
        <v>156</v>
      </c>
      <c r="D24" s="6" t="s">
        <v>20</v>
      </c>
      <c r="E24" s="6">
        <v>265</v>
      </c>
      <c r="F24" s="6">
        <v>59</v>
      </c>
      <c r="G24" s="6">
        <v>84</v>
      </c>
      <c r="H24" s="6">
        <v>108</v>
      </c>
      <c r="I24" s="6">
        <v>79</v>
      </c>
      <c r="J24" s="6">
        <v>111</v>
      </c>
      <c r="K24" s="6">
        <v>144</v>
      </c>
      <c r="L24" s="7"/>
      <c r="P24" s="27" t="s">
        <v>165</v>
      </c>
      <c r="Q24" s="28" t="s">
        <v>166</v>
      </c>
      <c r="R24" s="29" t="s">
        <v>400</v>
      </c>
    </row>
    <row r="25" spans="1:27" ht="15" hidden="1">
      <c r="A25" s="5" t="s">
        <v>63</v>
      </c>
      <c r="B25" s="5" t="s">
        <v>64</v>
      </c>
      <c r="C25" s="5" t="s">
        <v>157</v>
      </c>
      <c r="D25" s="6" t="s">
        <v>20</v>
      </c>
      <c r="E25" s="6">
        <v>265</v>
      </c>
      <c r="F25" s="6">
        <v>69</v>
      </c>
      <c r="G25" s="6">
        <v>93</v>
      </c>
      <c r="H25" s="6">
        <v>119</v>
      </c>
      <c r="I25" s="6">
        <v>92</v>
      </c>
      <c r="J25" s="6">
        <v>125</v>
      </c>
      <c r="K25" s="6">
        <v>158</v>
      </c>
      <c r="L25" s="7"/>
    </row>
    <row r="26" spans="1:27" ht="15.75" hidden="1" thickBot="1">
      <c r="A26" s="5" t="s">
        <v>65</v>
      </c>
      <c r="B26" s="5" t="s">
        <v>66</v>
      </c>
      <c r="C26" s="5" t="s">
        <v>158</v>
      </c>
      <c r="D26" s="6" t="s">
        <v>20</v>
      </c>
      <c r="E26" s="85">
        <v>265</v>
      </c>
      <c r="F26" s="85">
        <v>79</v>
      </c>
      <c r="G26" s="85">
        <v>104</v>
      </c>
      <c r="H26" s="85">
        <v>128</v>
      </c>
      <c r="I26" s="85">
        <v>105</v>
      </c>
      <c r="J26" s="85">
        <v>138</v>
      </c>
      <c r="K26" s="85">
        <v>171</v>
      </c>
      <c r="L26" s="7"/>
    </row>
    <row r="27" spans="1:27" ht="28.5" hidden="1" customHeight="1" thickBot="1">
      <c r="A27" s="5"/>
      <c r="B27" s="5"/>
      <c r="C27" s="5"/>
      <c r="D27" s="81"/>
      <c r="E27" s="87"/>
      <c r="F27" s="87"/>
      <c r="G27" s="87"/>
      <c r="H27" s="87"/>
      <c r="I27" s="87"/>
      <c r="J27" s="87"/>
      <c r="K27" s="87"/>
      <c r="L27" s="83"/>
      <c r="M27" s="163" t="s">
        <v>124</v>
      </c>
      <c r="N27" s="164"/>
      <c r="O27" s="160" t="s">
        <v>122</v>
      </c>
      <c r="P27" s="161"/>
      <c r="Q27" s="162"/>
      <c r="X27" s="20" t="s">
        <v>171</v>
      </c>
    </row>
    <row r="28" spans="1:27" ht="28.5" hidden="1" customHeight="1">
      <c r="A28" s="3" t="s">
        <v>67</v>
      </c>
      <c r="B28" s="3"/>
      <c r="C28" s="3"/>
      <c r="D28" s="82"/>
      <c r="E28" s="88"/>
      <c r="F28" s="89"/>
      <c r="G28" s="89"/>
      <c r="H28" s="89"/>
      <c r="I28" s="89"/>
      <c r="J28" s="89"/>
      <c r="K28" s="89"/>
      <c r="L28" s="84"/>
      <c r="M28" s="36" t="s">
        <v>129</v>
      </c>
      <c r="N28" s="37" t="s">
        <v>130</v>
      </c>
      <c r="O28" s="37" t="s">
        <v>131</v>
      </c>
      <c r="P28" s="37" t="s">
        <v>131</v>
      </c>
      <c r="Q28" s="37" t="s">
        <v>131</v>
      </c>
      <c r="R28" s="38" t="s">
        <v>127</v>
      </c>
      <c r="S28" s="37" t="s">
        <v>167</v>
      </c>
      <c r="T28" s="37" t="s">
        <v>168</v>
      </c>
      <c r="U28" s="37" t="s">
        <v>169</v>
      </c>
      <c r="V28" s="37" t="s">
        <v>138</v>
      </c>
      <c r="W28" s="37" t="s">
        <v>138</v>
      </c>
      <c r="X28" s="39" t="s">
        <v>170</v>
      </c>
      <c r="Z28" s="59" t="s">
        <v>246</v>
      </c>
      <c r="AA28" s="59" t="s">
        <v>270</v>
      </c>
    </row>
    <row r="29" spans="1:27" ht="28.5" hidden="1" customHeight="1">
      <c r="A29" s="5" t="s">
        <v>68</v>
      </c>
      <c r="B29" s="5"/>
      <c r="C29" s="5"/>
      <c r="D29" s="81"/>
      <c r="E29" s="87"/>
      <c r="F29" s="87"/>
      <c r="G29" s="87"/>
      <c r="H29" s="87"/>
      <c r="I29" s="87"/>
      <c r="J29" s="87"/>
      <c r="K29" s="87"/>
      <c r="L29" s="83"/>
      <c r="M29" s="40" t="s">
        <v>200</v>
      </c>
      <c r="N29" s="35" t="s">
        <v>201</v>
      </c>
      <c r="O29" s="35" t="s">
        <v>14</v>
      </c>
      <c r="P29" s="35" t="s">
        <v>15</v>
      </c>
      <c r="Q29" s="35" t="s">
        <v>16</v>
      </c>
      <c r="R29" s="35" t="s">
        <v>125</v>
      </c>
      <c r="S29" s="35" t="s">
        <v>126</v>
      </c>
      <c r="T29" s="35" t="s">
        <v>139</v>
      </c>
      <c r="U29" s="35" t="s">
        <v>134</v>
      </c>
      <c r="V29" s="35" t="s">
        <v>136</v>
      </c>
      <c r="W29" s="35" t="s">
        <v>137</v>
      </c>
      <c r="X29" s="41" t="s">
        <v>140</v>
      </c>
      <c r="Z29" s="13" t="s">
        <v>249</v>
      </c>
    </row>
    <row r="30" spans="1:27" ht="28.5" hidden="1" customHeight="1" thickBot="1">
      <c r="A30" s="5" t="s">
        <v>226</v>
      </c>
      <c r="B30" s="5" t="s">
        <v>207</v>
      </c>
      <c r="C30" s="5" t="s">
        <v>19</v>
      </c>
      <c r="D30" s="6">
        <v>107</v>
      </c>
      <c r="E30" s="86" t="s">
        <v>20</v>
      </c>
      <c r="F30" s="86">
        <v>39</v>
      </c>
      <c r="G30" s="86">
        <v>64</v>
      </c>
      <c r="H30" s="86">
        <v>89</v>
      </c>
      <c r="I30" s="86">
        <v>53</v>
      </c>
      <c r="J30" s="86">
        <v>86</v>
      </c>
      <c r="K30" s="86">
        <v>119</v>
      </c>
      <c r="L30" s="34"/>
      <c r="M30" s="42">
        <f>Etusivu!A27</f>
        <v>2500</v>
      </c>
      <c r="N30" s="43">
        <f>Etusivu!B27</f>
        <v>500</v>
      </c>
      <c r="O30" s="43">
        <v>200</v>
      </c>
      <c r="P30" s="43"/>
      <c r="Q30" s="43"/>
      <c r="R30" s="43" t="s">
        <v>141</v>
      </c>
      <c r="S30" s="43">
        <v>2</v>
      </c>
      <c r="T30" s="43" t="s">
        <v>133</v>
      </c>
      <c r="U30" s="43"/>
      <c r="V30" s="43"/>
      <c r="W30" s="43">
        <v>2</v>
      </c>
      <c r="X30" s="44">
        <v>6</v>
      </c>
      <c r="Z30">
        <f>IF(Etusivu!I27=Laskenta!N93,Etusivu!H27,IF(Etusivu!I27=Laskenta!N94,0,"Ei määrärajoissa"))</f>
        <v>0</v>
      </c>
    </row>
    <row r="31" spans="1:27" ht="28.5" hidden="1" customHeight="1">
      <c r="A31" s="5" t="s">
        <v>69</v>
      </c>
      <c r="B31" s="5" t="s">
        <v>208</v>
      </c>
      <c r="C31" s="5" t="s">
        <v>23</v>
      </c>
      <c r="D31" s="6">
        <v>133</v>
      </c>
      <c r="E31" s="6" t="s">
        <v>20</v>
      </c>
      <c r="F31" s="6">
        <v>50</v>
      </c>
      <c r="G31" s="6">
        <v>74</v>
      </c>
      <c r="H31" s="6">
        <v>99</v>
      </c>
      <c r="I31" s="6">
        <v>66</v>
      </c>
      <c r="J31" s="6">
        <v>99</v>
      </c>
      <c r="K31" s="6">
        <v>132</v>
      </c>
      <c r="L31" s="7"/>
      <c r="M31" s="13"/>
      <c r="N31" s="13"/>
      <c r="O31" s="13"/>
      <c r="P31" s="13"/>
      <c r="Q31" s="13"/>
      <c r="R31" s="12"/>
      <c r="S31" s="12"/>
      <c r="T31" s="12"/>
    </row>
    <row r="32" spans="1:27" ht="28.5" hidden="1" customHeight="1">
      <c r="A32" s="5" t="s">
        <v>202</v>
      </c>
      <c r="B32" s="5" t="s">
        <v>209</v>
      </c>
      <c r="C32" s="5" t="s">
        <v>26</v>
      </c>
      <c r="D32" s="6">
        <v>159</v>
      </c>
      <c r="E32" s="6" t="s">
        <v>20</v>
      </c>
      <c r="F32" s="6">
        <v>59</v>
      </c>
      <c r="G32" s="6">
        <v>84</v>
      </c>
      <c r="H32" s="6">
        <v>108</v>
      </c>
      <c r="I32" s="6">
        <v>79</v>
      </c>
      <c r="J32" s="6">
        <v>111</v>
      </c>
      <c r="K32" s="6">
        <v>144</v>
      </c>
      <c r="L32" s="7"/>
      <c r="M32" s="13"/>
      <c r="N32" s="13"/>
      <c r="O32" s="13"/>
      <c r="P32" s="13"/>
      <c r="Q32" s="13"/>
      <c r="R32" s="12"/>
      <c r="S32" s="12"/>
      <c r="T32" s="12"/>
    </row>
    <row r="33" spans="1:30" ht="28.5" hidden="1" customHeight="1">
      <c r="A33" s="5" t="s">
        <v>70</v>
      </c>
      <c r="B33" s="5" t="s">
        <v>210</v>
      </c>
      <c r="C33" s="5" t="s">
        <v>29</v>
      </c>
      <c r="D33" s="6">
        <v>186</v>
      </c>
      <c r="E33" s="6" t="s">
        <v>20</v>
      </c>
      <c r="F33" s="6">
        <v>69</v>
      </c>
      <c r="G33" s="6">
        <v>93</v>
      </c>
      <c r="H33" s="6">
        <v>119</v>
      </c>
      <c r="I33" s="6">
        <v>92</v>
      </c>
      <c r="J33" s="6">
        <v>125</v>
      </c>
      <c r="K33" s="6">
        <v>158</v>
      </c>
      <c r="L33" s="7"/>
      <c r="M33" s="14"/>
      <c r="N33" s="13"/>
      <c r="O33" s="13"/>
      <c r="P33" s="13"/>
      <c r="Q33" s="13"/>
      <c r="R33" s="12"/>
      <c r="S33" s="12"/>
      <c r="T33" s="12"/>
    </row>
    <row r="34" spans="1:30" ht="28.5" hidden="1" customHeight="1">
      <c r="A34" s="5" t="s">
        <v>203</v>
      </c>
      <c r="B34" s="5" t="s">
        <v>211</v>
      </c>
      <c r="C34" s="5" t="s">
        <v>32</v>
      </c>
      <c r="D34" s="6">
        <v>212</v>
      </c>
      <c r="E34" s="6" t="s">
        <v>20</v>
      </c>
      <c r="F34" s="6">
        <v>79</v>
      </c>
      <c r="G34" s="6">
        <v>104</v>
      </c>
      <c r="H34" s="6">
        <v>128</v>
      </c>
      <c r="I34" s="6">
        <v>105</v>
      </c>
      <c r="J34" s="6">
        <v>138</v>
      </c>
      <c r="K34" s="6">
        <v>171</v>
      </c>
      <c r="L34" s="7"/>
      <c r="M34" s="15" t="s">
        <v>401</v>
      </c>
      <c r="N34" s="13"/>
      <c r="P34" s="26" t="s">
        <v>402</v>
      </c>
      <c r="R34" s="12"/>
      <c r="S34" s="26" t="s">
        <v>403</v>
      </c>
      <c r="T34" s="26" t="s">
        <v>404</v>
      </c>
      <c r="U34" s="26" t="s">
        <v>405</v>
      </c>
      <c r="V34" s="26" t="s">
        <v>406</v>
      </c>
      <c r="W34" s="26" t="s">
        <v>407</v>
      </c>
      <c r="X34" s="26" t="s">
        <v>408</v>
      </c>
      <c r="Y34" s="26" t="s">
        <v>409</v>
      </c>
      <c r="Z34" s="26" t="s">
        <v>410</v>
      </c>
      <c r="AA34" s="26" t="s">
        <v>411</v>
      </c>
      <c r="AC34" s="18" t="s">
        <v>412</v>
      </c>
      <c r="AD34" s="26" t="s">
        <v>413</v>
      </c>
    </row>
    <row r="35" spans="1:30" ht="28.5" hidden="1" customHeight="1">
      <c r="A35" s="5" t="s">
        <v>71</v>
      </c>
      <c r="B35" s="5" t="s">
        <v>212</v>
      </c>
      <c r="C35" s="5" t="s">
        <v>222</v>
      </c>
      <c r="D35" s="6">
        <v>239</v>
      </c>
      <c r="E35" s="6" t="s">
        <v>20</v>
      </c>
      <c r="F35" s="6">
        <v>89</v>
      </c>
      <c r="G35" s="6">
        <v>114</v>
      </c>
      <c r="H35" s="6">
        <v>138</v>
      </c>
      <c r="I35" s="6">
        <v>119</v>
      </c>
      <c r="J35" s="6">
        <v>152</v>
      </c>
      <c r="K35" s="6">
        <v>185</v>
      </c>
      <c r="L35" s="7"/>
      <c r="M35" s="16">
        <f>IF(ISNUMBER(M37),M37*1.015*2.73,"Ei määrämitoissa")</f>
        <v>958.74869999999987</v>
      </c>
      <c r="N35" s="16"/>
      <c r="O35" s="16"/>
      <c r="P35" s="16">
        <f>IF(ISNUMBER(P37),P37*1.015*2.73,"Ei määrämitoissa")</f>
        <v>423.95534999999995</v>
      </c>
      <c r="Q35" s="16"/>
      <c r="R35" s="12"/>
      <c r="S35" s="16">
        <f>S37*1.015*2.73</f>
        <v>0</v>
      </c>
      <c r="T35" s="16">
        <f>T37*1.015*2.73</f>
        <v>0</v>
      </c>
      <c r="U35" s="55">
        <f>U37*1.015*2.73</f>
        <v>0</v>
      </c>
      <c r="V35" s="55">
        <f>IF(AND(NOT(V37="Vaatii vähintään 150 mm etureunan"),NOT(V37="Vaatii FRS, FLS tai FLRS etureunan")),V37*1.015*2.73,V37)</f>
        <v>41.564249999999994</v>
      </c>
      <c r="W35" s="55">
        <f>IF(NOT(W37="Vaatii vähintään 150 mm etureunan"),W37*1.015*2.73,"Vaatii vähintään 150 mm etureunan")</f>
        <v>196.73745</v>
      </c>
      <c r="X35" s="55">
        <f>X37*1.015*2.73</f>
        <v>0</v>
      </c>
      <c r="Y35" s="55">
        <f>Y37*1.015*2.73</f>
        <v>110.83799999999998</v>
      </c>
      <c r="Z35" s="60">
        <f>Z37*1.015*2.73</f>
        <v>0</v>
      </c>
      <c r="AA35" s="55">
        <f>IF(ISNUMBER(AA37),AA37*1.015*2.73,"Ei määrämitoissa")</f>
        <v>354.68159999999995</v>
      </c>
      <c r="AC35" s="17">
        <f>AC37*1.015*2.73</f>
        <v>49.877099999999999</v>
      </c>
      <c r="AD35" s="17">
        <f>AD37*1.015*2.73</f>
        <v>0</v>
      </c>
    </row>
    <row r="36" spans="1:30" ht="28.5" hidden="1" customHeight="1">
      <c r="A36" s="5" t="s">
        <v>204</v>
      </c>
      <c r="B36" s="5" t="s">
        <v>213</v>
      </c>
      <c r="C36" s="5" t="s">
        <v>219</v>
      </c>
      <c r="D36" s="6">
        <v>265</v>
      </c>
      <c r="E36" s="6" t="s">
        <v>20</v>
      </c>
      <c r="F36" s="6">
        <v>99</v>
      </c>
      <c r="G36" s="6">
        <v>123</v>
      </c>
      <c r="H36" s="6">
        <v>149</v>
      </c>
      <c r="I36" s="6">
        <v>132</v>
      </c>
      <c r="J36" s="6">
        <v>164</v>
      </c>
      <c r="K36" s="6">
        <v>197</v>
      </c>
      <c r="L36" s="7"/>
      <c r="M36" s="15" t="s">
        <v>191</v>
      </c>
      <c r="N36" s="13"/>
      <c r="P36" s="26" t="s">
        <v>192</v>
      </c>
      <c r="R36" s="12"/>
      <c r="S36" s="26" t="s">
        <v>193</v>
      </c>
      <c r="T36" s="26" t="s">
        <v>194</v>
      </c>
      <c r="U36" s="26" t="s">
        <v>195</v>
      </c>
      <c r="V36" s="26" t="s">
        <v>196</v>
      </c>
      <c r="W36" s="26" t="s">
        <v>197</v>
      </c>
      <c r="X36" s="26" t="s">
        <v>198</v>
      </c>
      <c r="Y36" s="26" t="s">
        <v>199</v>
      </c>
      <c r="Z36" s="26" t="s">
        <v>251</v>
      </c>
      <c r="AA36" s="26" t="s">
        <v>271</v>
      </c>
      <c r="AC36" s="26" t="s">
        <v>328</v>
      </c>
      <c r="AD36" s="26" t="s">
        <v>376</v>
      </c>
    </row>
    <row r="37" spans="1:30" ht="28.5" hidden="1" customHeight="1">
      <c r="A37" s="5" t="s">
        <v>72</v>
      </c>
      <c r="B37" s="5" t="s">
        <v>214</v>
      </c>
      <c r="C37" s="5" t="s">
        <v>223</v>
      </c>
      <c r="D37" s="6">
        <v>291</v>
      </c>
      <c r="E37" s="6" t="s">
        <v>20</v>
      </c>
      <c r="F37" s="6">
        <v>108</v>
      </c>
      <c r="G37" s="6">
        <v>134</v>
      </c>
      <c r="H37" s="6">
        <v>158</v>
      </c>
      <c r="I37" s="6">
        <v>144</v>
      </c>
      <c r="J37" s="6">
        <v>177</v>
      </c>
      <c r="K37" s="6">
        <v>210</v>
      </c>
      <c r="L37" s="7"/>
      <c r="M37" s="12">
        <f>IF(AND(Etusivu!A27&gt;=600,Etusivu!A27&lt;=800)*AND(Etusivu!B27&gt;=400,Etusivu!B27&lt;=500),D30,IF(AND(Etusivu!A27&gt;=801,Etusivu!A27&lt;=1000)*AND(Etusivu!B27&gt;=400,Etusivu!B27&lt;=500),D31,IF(AND(Etusivu!A27&gt;=1001,Etusivu!A27&lt;=1200)*AND(Etusivu!B27&gt;=400,Etusivu!B27&lt;=500),D32,IF(AND(Etusivu!A27&gt;=1201,Etusivu!A27&lt;=1400)*AND(Etusivu!B27&gt;=400,Etusivu!B27&lt;=500),D33,IF(AND(Etusivu!A27&gt;=1401,Etusivu!A27&lt;=1600)*AND(Etusivu!B27&gt;=400,Etusivu!B27&lt;=500),D34,IF(AND(Etusivu!A27&gt;=1601,Etusivu!A27&lt;=1800)*AND(Etusivu!B27&gt;=400,Etusivu!B27&lt;=500),D35,IF(AND(Etusivu!A27&gt;=1801,Etusivu!A27&lt;=2000)*AND(Etusivu!B27&gt;=400,Etusivu!B27&lt;=500),D36,IF(AND(Etusivu!A27&gt;=2001,Etusivu!A27&lt;=2200)*AND(Etusivu!B27&gt;=400,Etusivu!B27&lt;=500),D37,IF(AND(Etusivu!A27&gt;=2201,Etusivu!A27&lt;=2400)*AND(Etusivu!B27&gt;=400,Etusivu!B27&lt;=500),D38,IF(AND(Etusivu!A27&gt;=2401,Etusivu!A27&lt;=2600)*AND(Etusivu!B27&gt;=400,Etusivu!B27&lt;=500),D39,IF(AND(Etusivu!A27&gt;=2601,Etusivu!A27&lt;=2800)*AND(Etusivu!B27&gt;=400,Etusivu!B27&lt;=500),D40,IF(AND(Etusivu!A27&gt;=2801,Etusivu!A27&lt;=3000)*AND(Etusivu!B27&gt;=400,Etusivu!B27&lt;=500),D41,IF(AND(Etusivu!A27&gt;=600,Etusivu!A27&lt;=800)*AND(Etusivu!B27&gt;=501,Etusivu!B27&lt;=610),D43,IF(AND(Etusivu!A27&gt;=801,Etusivu!A27&lt;=1000)*AND(Etusivu!B27&gt;=501,Etusivu!B27&lt;=610),D44,IF(AND(Etusivu!A27&gt;=1001,Etusivu!A27&lt;=1200)*AND(Etusivu!B27&gt;=501,Etusivu!B27&lt;=610),D45,IF(AND(Etusivu!A27&gt;=1201,Etusivu!A27&lt;=1400)*AND(Etusivu!B27&gt;=501,Etusivu!B27&lt;=610),D46,IF(AND(Etusivu!A27&gt;=1401,Etusivu!A27&lt;=1600)*AND(Etusivu!B27&gt;=501,Etusivu!B27&lt;=610),D47,IF(AND(Etusivu!A27&gt;=1601,Etusivu!A27&lt;=1800)*AND(Etusivu!B27&gt;=501,Etusivu!B27&lt;=610),D48,IF(AND(Etusivu!A27&gt;=1801,Etusivu!A27&lt;=2000)*AND(Etusivu!B27&gt;=501,Etusivu!B27&lt;=610),D49,IF(AND(Etusivu!A27&gt;=2001,Etusivu!A27&lt;=2200)*AND(Etusivu!B27&gt;=501,Etusivu!B27&lt;=610),D50,IF(AND(Etusivu!A27&gt;=2201,Etusivu!A27&lt;=2400)*AND(Etusivu!B27&gt;=501,Etusivu!B27&lt;=610),D51,IF(AND(Etusivu!A27&gt;=2401,Etusivu!A27&lt;=2600)*AND(Etusivu!B27&gt;=501,Etusivu!B27&lt;=610),D52,IF(AND(Etusivu!A27&gt;=2601,Etusivu!A27&lt;=2800)*AND(Etusivu!B27&gt;=501,Etusivu!B27&lt;=610),D53,IF(AND(Etusivu!A27&gt;=2801,Etusivu!A27&lt;=3000)*AND(Etusivu!B27&gt;=501,Etusivu!B27&lt;=610),D54,"Ei määrärajoissa"))))))))))))))))))))))))</f>
        <v>346</v>
      </c>
      <c r="N37" s="16"/>
      <c r="O37" s="16"/>
      <c r="P37" s="16">
        <f>IF(Etusivu!C27=N73,O38,IF(OR(Etusivu!C27=N74,Etusivu!C27=N75),P38,IF(Etusivu!C27=N76,Q38,IF(Etusivu!C27=N77,0,"Ei määrämitoissa"))))</f>
        <v>153</v>
      </c>
      <c r="Q37" s="16"/>
      <c r="R37" s="23"/>
      <c r="S37" s="16">
        <f>IF(Etusivu!G27=C57,D57*Etusivu!H27,IF(Etusivu!G27=C58,D58*Etusivu!H27,IF(Etusivu!G27=C59,D59*Etusivu!H27,IF(Etusivu!G27=C60,D60*Etusivu!H27,IF(Etusivu!G27=C61,D61*Etusivu!H27,IF(Etusivu!G27=C62,D62*Etusivu!H27,IF(Etusivu!G27=C63,D63*Etusivu!H27,IF(Etusivu!G27=N104,0,"Arvoja puuttuu"))))))))</f>
        <v>0</v>
      </c>
      <c r="T37" s="13">
        <f>IF(Etusivu!A34=C64,D64*Etusivu!H27,IF(Etusivu!A34=C65,D65*Etusivu!H27,IF(Etusivu!A34=C66,D66*Etusivu!H27,IF(Etusivu!A34=N84,0,IF(Etusivu!A34=C67,D67*Etusivu!H27,"Ilman pohjaventtiiliä")))))</f>
        <v>0</v>
      </c>
      <c r="U37" s="13">
        <f>IF(Etusivu!B34=C70,D70*Etusivu!H27,IF(Etusivu!B34=C71,D71*Etusivu!H27,IF(Etusivu!B34=N91,0,"Ilman vesilukkoa")))</f>
        <v>0</v>
      </c>
      <c r="V37" s="51">
        <f>IF(AND(OR(Etusivu!C27="",Etusivu!C27=Laskenta!N77,Etusivu!D27&lt;150),NOT(Etusivu!C34="ilman pyyhetankoa"),NOT(Etusivu!C34="")),"Vaatii vähintään 150 mm etureunan",IF(AND(Etusivu!C34=C79,NOT(Etusivu!C27=N74),NOT(Etusivu!C27=N75),NOT(Etusivu!C27=N76)),"Vaatii FRS, FLS tai FLRS etureunan",IF(Etusivu!C34=Laskenta!C77,Laskenta!D77*Etusivu!C36,IF(Etusivu!C34=Laskenta!C78,Laskenta!D78*Etusivu!C36,IF(Etusivu!C34=Laskenta!C79,Laskenta!D79*Etusivu!C36,0)))))</f>
        <v>15</v>
      </c>
      <c r="W37" s="51">
        <f>IF(AND(OR(Etusivu!C27="",Etusivu!C27=Laskenta!N77,Etusivu!D27&lt;150),NOT(Etusivu!D34=""),NOT(Etusivu!D34="ilman paperitelinettä"),NOT(Etusivu!D34=C79)),"Vaatii vähintään 150 mm etureunan",IF(Etusivu!D34=Laskenta!C78,Laskenta!D78*Etusivu!D36,0))</f>
        <v>71</v>
      </c>
      <c r="X37" s="51">
        <f>Etusivu!G36*D73</f>
        <v>0</v>
      </c>
      <c r="Y37" s="20">
        <f>D99</f>
        <v>40</v>
      </c>
      <c r="Z37" s="60">
        <f>Z30*D80</f>
        <v>0</v>
      </c>
      <c r="AA37">
        <f>IF(Etusivu!E27=N106,Z38,IF(OR(Etusivu!E27=N107,Etusivu!E27=N108),AA38,IF(Etusivu!E27=N109,AB38,IF(Etusivu!E27=N110,0,"Ei määrämitoissa"))))</f>
        <v>128</v>
      </c>
      <c r="AC37" s="17">
        <f>IF(Etusivu!E34=Laskenta!C81,Laskenta!D81*Etusivu!E36,0)</f>
        <v>18</v>
      </c>
      <c r="AD37" s="17">
        <f>IF(Etusivu!F34=Laskenta!C82,Laskenta!D82*Etusivu!F36,0)</f>
        <v>0</v>
      </c>
    </row>
    <row r="38" spans="1:30" ht="28.5" hidden="1" customHeight="1">
      <c r="A38" s="5" t="s">
        <v>205</v>
      </c>
      <c r="B38" s="5" t="s">
        <v>215</v>
      </c>
      <c r="C38" s="5" t="s">
        <v>220</v>
      </c>
      <c r="D38" s="6">
        <v>318</v>
      </c>
      <c r="E38" s="6" t="s">
        <v>20</v>
      </c>
      <c r="F38" s="6">
        <v>119</v>
      </c>
      <c r="G38" s="6">
        <v>143</v>
      </c>
      <c r="H38" s="6">
        <v>168</v>
      </c>
      <c r="I38" s="6">
        <v>158</v>
      </c>
      <c r="J38" s="6">
        <v>191</v>
      </c>
      <c r="K38" s="6">
        <v>224</v>
      </c>
      <c r="L38" s="7"/>
      <c r="O38" s="12">
        <f>IF(AND(Etusivu!A27&gt;=600,Etusivu!A27&lt;=800)*AND(Etusivu!B27&gt;=400,Etusivu!B27&lt;=500)*AND(Etusivu!D27&gt;=30,Etusivu!D27&lt;=150),F30,IF(AND(Etusivu!A27&gt;=801,Etusivu!A27&lt;=1000)*AND(Etusivu!B27&gt;=400,Etusivu!B27&lt;=500)*AND(Etusivu!D27&gt;=30,Etusivu!D27&lt;=150),F31,IF(AND(Etusivu!A27&gt;=1001,Etusivu!A27&lt;=1200)*AND(Etusivu!B27&gt;=400,Etusivu!B27&lt;=500)*AND(Etusivu!D27&gt;=30,Etusivu!D27&lt;=150),F32,IF(AND(Etusivu!A27&gt;=1201,Etusivu!A27&lt;=1400)*AND(Etusivu!B27&gt;=400,Etusivu!B27&lt;=500)*AND(Etusivu!D27&gt;=30,Etusivu!D27&lt;=150),F33,IF(AND(Etusivu!A27&gt;=1401,Etusivu!A27&lt;=1600)*AND(Etusivu!B27&gt;=400,Etusivu!B27&lt;=500)*AND(Etusivu!D27&gt;=30,Etusivu!D27&lt;=150),F34,IF(AND(Etusivu!A27&gt;=1601,Etusivu!A27&lt;=1800)*AND(Etusivu!B27&gt;=400,Etusivu!B27&lt;=500)*AND(Etusivu!D27&gt;=30,Etusivu!D27&lt;=150),F35,IF(AND(Etusivu!A27&gt;=1801,Etusivu!A27&lt;=2000)*AND(Etusivu!B27&gt;=400,Etusivu!B27&lt;=500)*AND(Etusivu!D27&gt;=30,Etusivu!D27&lt;=150),F36,IF(AND(Etusivu!A27&gt;=2001,Etusivu!A27&lt;=2200)*AND(Etusivu!B27&gt;=400,Etusivu!B27&lt;=500)*AND(Etusivu!D27&gt;=30,Etusivu!D27&lt;=150),F37,IF(AND(Etusivu!A27&gt;=2201,Etusivu!A27&lt;=2400)*AND(Etusivu!B27&gt;=400,Etusivu!B27&lt;=500)*AND(Etusivu!D27&gt;=30,Etusivu!D27&lt;=150),F38,IF(AND(Etusivu!A27&gt;=2401,Etusivu!A27&lt;=2600)*AND(Etusivu!B27&gt;=400,Etusivu!B27&lt;=500)*AND(Etusivu!D27&gt;=30,Etusivu!D27&lt;=150),F39,IF(AND(Etusivu!A27&gt;=2601,Etusivu!A27&lt;=2800)*AND(Etusivu!B27&gt;=400,Etusivu!B27&lt;=500)*AND(Etusivu!D27&gt;=30,Etusivu!D27&lt;=150),F40,IF(AND(Etusivu!A27&gt;=2801,Etusivu!A27&lt;=3000)*AND(Etusivu!B27&gt;=400,Etusivu!B27&lt;=500)*AND(Etusivu!D27&gt;=30,Etusivu!D27&lt;=150),F41,IF(AND(Etusivu!A27&gt;=600,Etusivu!A27&lt;=800)*AND(Etusivu!B27&gt;=501,Etusivu!B27&lt;=610)*AND(Etusivu!D27&gt;=30,Etusivu!D27&lt;=150),F43,IF(AND(Etusivu!A27&gt;=801,Etusivu!A27&lt;=1000)*AND(Etusivu!B27&gt;=501,Etusivu!B27&lt;=610)*AND(Etusivu!D27&gt;=30,Etusivu!D27&lt;=150),F44,IF(AND(Etusivu!A27&gt;=1001,Etusivu!A27&lt;=1200)*AND(Etusivu!B27&gt;=501,Etusivu!B27&lt;=610)*AND(Etusivu!D27&gt;=30,Etusivu!D27&lt;=150),F45,IF(AND(Etusivu!A27&gt;=1201,Etusivu!A27&lt;=1400)*AND(Etusivu!B27&gt;=501,Etusivu!B27&lt;=610)*AND(Etusivu!D27&gt;=30,Etusivu!D27&lt;=150),F46,IF(AND(Etusivu!A27&gt;=1401,Etusivu!A27&lt;=1600)*AND(Etusivu!B27&gt;=501,Etusivu!B27&lt;=610)*AND(Etusivu!D27&gt;=30,Etusivu!D27&lt;=150),F47,IF(AND(Etusivu!A27&gt;=1601,Etusivu!A27&lt;=1800)*AND(Etusivu!B27&gt;=501,Etusivu!B27&lt;=610)*AND(Etusivu!D27&gt;=30,Etusivu!D27&lt;=150),F48,IF(AND(Etusivu!A27&gt;=1801,Etusivu!A27&lt;=2000)*AND(Etusivu!B27&gt;=501,Etusivu!B27&lt;=610)*AND(Etusivu!D27&gt;=30,Etusivu!D27&lt;=150),F49,IF(AND(Etusivu!A27&gt;=2001,Etusivu!A27&lt;=2200)*AND(Etusivu!B27&gt;=501,Etusivu!B27&lt;=610)*AND(Etusivu!D27&gt;=30,Etusivu!D27&lt;=150),F50,IF(AND(Etusivu!A27&gt;=2201,Etusivu!A27&lt;=2400)*AND(Etusivu!B27&gt;=501,Etusivu!B27&lt;=610)*AND(Etusivu!D27&gt;=30,Etusivu!D27&lt;=150),F51,IF(AND(Etusivu!A27&gt;=2401,Etusivu!A27&lt;=2600)*AND(Etusivu!B27&gt;=501,Etusivu!B27&lt;=610)*AND(Etusivu!D27&gt;=30,Etusivu!D27&lt;=150),F52,IF(AND(Etusivu!A27&gt;=2601,Etusivu!A27&lt;=2800)*AND(Etusivu!B27&gt;=501,Etusivu!B27&lt;=610)*AND(Etusivu!D27&gt;=30,Etusivu!D27&lt;=150),F53,IF(AND(Etusivu!A27&gt;=2801,Etusivu!A27&lt;=3000)*AND(Etusivu!B27&gt;=501,Etusivu!B27&lt;=610)*AND(Etusivu!D27&gt;=30,Etusivu!D27&lt;=150),F54,IF(AND(Etusivu!A27&gt;=600,Etusivu!A27&lt;=800)*AND(Etusivu!B27&gt;=400,Etusivu!B27&lt;=500)*AND(Etusivu!D27&gt;=151,Etusivu!D27&lt;=200),I30,IF(AND(Etusivu!A27&gt;=801,Etusivu!A27&lt;=1000)*AND(Etusivu!B27&gt;=400,Etusivu!B27&lt;=500)*AND(Etusivu!D27&gt;=151,Etusivu!D27&lt;=200),I31,IF(AND(Etusivu!A27&gt;=1001,Etusivu!A27&lt;=1200)*AND(Etusivu!B27&gt;=400,Etusivu!B27&lt;=500)*AND(Etusivu!D27&gt;=151,Etusivu!D27&lt;=200),I32,IF(AND(Etusivu!A27&gt;=1201,Etusivu!A27&lt;=1400)*AND(Etusivu!B27&gt;=400,Etusivu!B27&lt;=500)*AND(Etusivu!D27&gt;=151,Etusivu!D27&lt;=200),I33,IF(AND(Etusivu!A27&gt;=1401,Etusivu!A27&lt;=1600)*AND(Etusivu!B27&gt;=400,Etusivu!B27&lt;=500)*AND(Etusivu!D27&gt;=151,Etusivu!D27&lt;=200),I34,IF(AND(Etusivu!A27&gt;=1601,Etusivu!A27&lt;=1800)*AND(Etusivu!B27&gt;=400,Etusivu!B27&lt;=500)*AND(Etusivu!D27&gt;=151,Etusivu!D27&lt;=200),I35,IF(AND(Etusivu!A27&gt;=1801,Etusivu!A27&lt;=2000)*AND(Etusivu!B27&gt;=400,Etusivu!B27&lt;=500)*AND(Etusivu!D27&gt;=151,Etusivu!D27&lt;=200),I36,IF(AND(Etusivu!A27&gt;=2001,Etusivu!A27&lt;=2200)*AND(Etusivu!B27&gt;=400,Etusivu!B27&lt;=500)*AND(Etusivu!D27&gt;=151,Etusivu!D27&lt;=200),I37,IF(AND(Etusivu!A27&gt;=2201,Etusivu!A27&lt;=2400)*AND(Etusivu!B27&gt;=400,Etusivu!B27&lt;=500)*AND(Etusivu!D27&gt;=151,Etusivu!D27&lt;=200),I38,IF(AND(Etusivu!A27&gt;=2401,Etusivu!A27&lt;=2600)*AND(Etusivu!B27&gt;=400,Etusivu!B27&lt;=500)*AND(Etusivu!D27&gt;=151,Etusivu!D27&lt;=200),I39,IF(AND(Etusivu!A27&gt;=2601,Etusivu!A27&lt;=2800)*AND(Etusivu!B27&gt;=400,Etusivu!B27&lt;=500)*AND(Etusivu!D27&gt;=151,Etusivu!D27&lt;=200),I40,IF(AND(Etusivu!A27&gt;=2801,Etusivu!A27&lt;=3000)*AND(Etusivu!B27&gt;=400,Etusivu!B27&lt;=500)*AND(Etusivu!D27&gt;=151,Etusivu!D27&lt;=200),I41,IF(AND(Etusivu!A27&gt;=600,Etusivu!A27&lt;=800)*AND(Etusivu!B27&gt;=501,Etusivu!B27&lt;=610)*AND(Etusivu!D27&gt;=151,Etusivu!D27&lt;=200),I43,IF(AND(Etusivu!A27&gt;=801,Etusivu!A27&lt;=1000)*AND(Etusivu!B27&gt;=501,Etusivu!B27&lt;=610)*AND(Etusivu!D27&gt;=151,Etusivu!D27&lt;=200),I44,IF(AND(Etusivu!A27&gt;=1001,Etusivu!A27&lt;=1200)*AND(Etusivu!B27&gt;=501,Etusivu!B27&lt;=610)*AND(Etusivu!D27&gt;=151,Etusivu!D27&lt;=200),I45,IF(AND(Etusivu!A27&gt;=1201,Etusivu!A27&lt;=1400)*AND(Etusivu!B27&gt;=501,Etusivu!B27&lt;=610)*AND(Etusivu!D27&gt;=151,Etusivu!D27&lt;=200),I46,IF(AND(Etusivu!A27&gt;=1401,Etusivu!A27&lt;=1600)*AND(Etusivu!B27&gt;=501,Etusivu!B27&lt;=610)*AND(Etusivu!D27&gt;=151,Etusivu!D27&lt;=200),I47,IF(AND(Etusivu!A27&gt;=1601,Etusivu!A27&lt;=1800)*AND(Etusivu!B27&gt;=501,Etusivu!B27&lt;=610)*AND(Etusivu!D27&gt;=151,Etusivu!D27&lt;=200),I48,IF(AND(Etusivu!A27&gt;=1801,Etusivu!A27&lt;=2000)*AND(Etusivu!B27&gt;=501,Etusivu!B27&lt;=610)*AND(Etusivu!D27&gt;=151,Etusivu!D27&lt;=200),I49,IF(AND(Etusivu!A27&gt;=2001,Etusivu!A27&lt;=2200)*AND(Etusivu!B27&gt;=501,Etusivu!B27&lt;=610)*AND(Etusivu!D27&gt;=151,Etusivu!D27&lt;=200),I50,IF(AND(Etusivu!A27&gt;=2201,Etusivu!A27&lt;=2400)*AND(Etusivu!B27&gt;=501,Etusivu!B27&lt;=610)*AND(Etusivu!D27&gt;=151,Etusivu!D27&lt;=200),I51,IF(AND(Etusivu!A27&gt;=2401,Etusivu!A27&lt;=2600)*AND(Etusivu!B27&gt;=501,Etusivu!B27&lt;=610)*AND(Etusivu!D27&gt;=151,Etusivu!D27&lt;=200),I52,IF(AND(Etusivu!A27&gt;=2601,Etusivu!A27&lt;=2800)*AND(Etusivu!B27&gt;=501,Etusivu!B27&lt;=610)*AND(Etusivu!D27&gt;=151,Etusivu!D27&lt;=200),I53,IF(AND(Etusivu!A27&gt;=2801,Etusivu!A27&lt;=3000)*AND(Etusivu!B27&gt;=501,Etusivu!B27&lt;=610)*AND(Etusivu!D27&gt;=151,Etusivu!D27&lt;=200),I54,"Ei määrärajoissa"))))))))))))))))))))))))))))))))))))))))))))))))</f>
        <v>128</v>
      </c>
      <c r="P38">
        <f>IF(AND(Etusivu!A27&gt;=600,Etusivu!A27&lt;=800)*AND(Etusivu!B27&gt;=400,Etusivu!B27&lt;=500)*AND(Etusivu!D27&gt;=30,Etusivu!D27&lt;=150),G30,IF(AND(Etusivu!A27&gt;=801,Etusivu!A27&lt;=1000)*AND(Etusivu!B27&gt;=400,Etusivu!B27&lt;=500)*AND(Etusivu!D27&gt;=30,Etusivu!D27&lt;=150),G31,IF(AND(Etusivu!A27&gt;=1001,Etusivu!A27&lt;=1200)*AND(Etusivu!B27&gt;=400,Etusivu!B27&lt;=500)*AND(Etusivu!D27&gt;=30,Etusivu!D27&lt;=150),G32,IF(AND(Etusivu!A27&gt;=1201,Etusivu!A27&lt;=1400)*AND(Etusivu!B27&gt;=400,Etusivu!B27&lt;=500)*AND(Etusivu!D27&gt;=30,Etusivu!D27&lt;=150),G33,IF(AND(Etusivu!A27&gt;=1401,Etusivu!A27&lt;=1600)*AND(Etusivu!B27&gt;=400,Etusivu!B27&lt;=500)*AND(Etusivu!D27&gt;=30,Etusivu!D27&lt;=150),G34,IF(AND(Etusivu!A27&gt;=1601,Etusivu!A27&lt;=1800)*AND(Etusivu!B27&gt;=400,Etusivu!B27&lt;=500)*AND(Etusivu!D27&gt;=30,Etusivu!D27&lt;=150),G35,IF(AND(Etusivu!A27&gt;=1801,Etusivu!A27&lt;=2000)*AND(Etusivu!B27&gt;=400,Etusivu!B27&lt;=500)*AND(Etusivu!D27&gt;=30,Etusivu!D27&lt;=150),G36,IF(AND(Etusivu!A27&gt;=2001,Etusivu!A27&lt;=2200)*AND(Etusivu!B27&gt;=400,Etusivu!B27&lt;=500)*AND(Etusivu!D27&gt;=30,Etusivu!D27&lt;=150),G37,IF(AND(Etusivu!A27&gt;=2201,Etusivu!A27&lt;=2400)*AND(Etusivu!B27&gt;=400,Etusivu!B27&lt;=500)*AND(Etusivu!D27&gt;=30,Etusivu!D27&lt;=150),G38,IF(AND(Etusivu!A27&gt;=2401,Etusivu!A27&lt;=2600)*AND(Etusivu!B27&gt;=400,Etusivu!B27&lt;=500)*AND(Etusivu!D27&gt;=30,Etusivu!D27&lt;=150),G39,IF(AND(Etusivu!A27&gt;=2601,Etusivu!A27&lt;=2800)*AND(Etusivu!B27&gt;=400,Etusivu!B27&lt;=500)*AND(Etusivu!D27&gt;=30,Etusivu!D27&lt;=150),G40,IF(AND(Etusivu!A27&gt;=2801,Etusivu!A27&lt;=3000)*AND(Etusivu!B27&gt;=400,Etusivu!B27&lt;=500)*AND(Etusivu!D27&gt;=30,Etusivu!D27&lt;=150),G41,IF(AND(Etusivu!A27&gt;=600,Etusivu!A27&lt;=800)*AND(Etusivu!B27&gt;=501,Etusivu!B27&lt;=610)*AND(Etusivu!D27&gt;=30,Etusivu!D27&lt;=150),G43,IF(AND(Etusivu!A27&gt;=801,Etusivu!A27&lt;=1000)*AND(Etusivu!B27&gt;=501,Etusivu!B27&lt;=610)*AND(Etusivu!D27&gt;=30,Etusivu!D27&lt;=150),G44,IF(AND(Etusivu!A27&gt;=1001,Etusivu!A27&lt;=1200)*AND(Etusivu!B27&gt;=501,Etusivu!B27&lt;=610)*AND(Etusivu!D27&gt;=30,Etusivu!D27&lt;=150),G45,IF(AND(Etusivu!A27&gt;=1201,Etusivu!A27&lt;=1400)*AND(Etusivu!B27&gt;=501,Etusivu!B27&lt;=610)*AND(Etusivu!D27&gt;=30,Etusivu!D27&lt;=150),G46,IF(AND(Etusivu!A27&gt;=1401,Etusivu!A27&lt;=1600)*AND(Etusivu!B27&gt;=501,Etusivu!B27&lt;=610)*AND(Etusivu!D27&gt;=30,Etusivu!D27&lt;=150),G47,IF(AND(Etusivu!A27&gt;=1601,Etusivu!A27&lt;=1800)*AND(Etusivu!B27&gt;=501,Etusivu!B27&lt;=610)*AND(Etusivu!D27&gt;=30,Etusivu!D27&lt;=150),G48,IF(AND(Etusivu!A27&gt;=1801,Etusivu!A27&lt;=2000)*AND(Etusivu!B27&gt;=501,Etusivu!B27&lt;=610)*AND(Etusivu!D27&gt;=30,Etusivu!D27&lt;=150),G49,IF(AND(Etusivu!A27&gt;=2001,Etusivu!A27&lt;=2200)*AND(Etusivu!B27&gt;=501,Etusivu!B27&lt;=610)*AND(Etusivu!D27&gt;=30,Etusivu!D27&lt;=150),G50,IF(AND(Etusivu!A27&gt;=2201,Etusivu!A27&lt;=2400)*AND(Etusivu!B27&gt;=501,Etusivu!B27&lt;=610)*AND(Etusivu!D27&gt;=30,Etusivu!D27&lt;=150),G51,IF(AND(Etusivu!A27&gt;=2401,Etusivu!A27&lt;=2600)*AND(Etusivu!B27&gt;=501,Etusivu!B27&lt;=610)*AND(Etusivu!D27&gt;=30,Etusivu!D27&lt;=150),G52,IF(AND(Etusivu!A27&gt;=2601,Etusivu!A27&lt;=2800)*AND(Etusivu!B27&gt;=501,Etusivu!B27&lt;=610)*AND(Etusivu!D27&gt;=30,Etusivu!D27&lt;=150),G53,IF(AND(Etusivu!A27&gt;=2801,Etusivu!A27&lt;=3000)*AND(Etusivu!B27&gt;=501,Etusivu!B27&lt;=610)*AND(Etusivu!D27&gt;=30,Etusivu!D27&lt;=150),G54,IF(AND(Etusivu!A27&gt;=600,Etusivu!A27&lt;=800)*AND(Etusivu!B27&gt;=400,Etusivu!B27&lt;=500)*AND(Etusivu!D27&gt;=151,Etusivu!D27&lt;=200),J30,IF(AND(Etusivu!A27&gt;=801,Etusivu!A27&lt;=1000)*AND(Etusivu!B27&gt;=400,Etusivu!B27&lt;=500)*AND(Etusivu!D27&gt;=151,Etusivu!D27&lt;=200),J31,IF(AND(Etusivu!A27&gt;=1001,Etusivu!A27&lt;=1200)*AND(Etusivu!B27&gt;=400,Etusivu!B27&lt;=500)*AND(Etusivu!D27&gt;=151,Etusivu!D27&lt;=200),J32,IF(AND(Etusivu!A27&gt;=1201,Etusivu!A27&lt;=1400)*AND(Etusivu!B27&gt;=400,Etusivu!B27&lt;=500)*AND(Etusivu!D27&gt;=151,Etusivu!D27&lt;=200),J33,IF(AND(Etusivu!A27&gt;=1401,Etusivu!A27&lt;=1600)*AND(Etusivu!B27&gt;=400,Etusivu!B27&lt;=500)*AND(Etusivu!D27&gt;=151,Etusivu!D27&lt;=200),J34,IF(AND(Etusivu!A27&gt;=1601,Etusivu!A27&lt;=1800)*AND(Etusivu!B27&gt;=400,Etusivu!B27&lt;=500)*AND(Etusivu!D27&gt;=151,Etusivu!D27&lt;=200),J35,IF(AND(Etusivu!A27&gt;=1801,Etusivu!A27&lt;=2000)*AND(Etusivu!B27&gt;=400,Etusivu!B27&lt;=500)*AND(Etusivu!D27&gt;=151,Etusivu!D27&lt;=200),J36,IF(AND(Etusivu!A27&gt;=2001,Etusivu!A27&lt;=2200)*AND(Etusivu!B27&gt;=400,Etusivu!B27&lt;=500)*AND(Etusivu!D27&gt;=151,Etusivu!D27&lt;=200),J37,IF(AND(Etusivu!A27&gt;=2201,Etusivu!A27&lt;=2400)*AND(Etusivu!B27&gt;=400,Etusivu!B27&lt;=500)*AND(Etusivu!D27&gt;=151,Etusivu!D27&lt;=200),J38,IF(AND(Etusivu!A27&gt;=2401,Etusivu!A27&lt;=2600)*AND(Etusivu!B27&gt;=400,Etusivu!B27&lt;=500)*AND(Etusivu!D27&gt;=151,Etusivu!D27&lt;=200),J39,IF(AND(Etusivu!A27&gt;=2601,Etusivu!A27&lt;=2800)*AND(Etusivu!B27&gt;=400,Etusivu!B27&lt;=500)*AND(Etusivu!D27&gt;=151,Etusivu!D27&lt;=200),J40,IF(AND(Etusivu!A27&gt;=2801,Etusivu!A27&lt;=3000)*AND(Etusivu!B27&gt;=400,Etusivu!B27&lt;=500)*AND(Etusivu!D27&gt;=151,Etusivu!D27&lt;=200),J41,IF(AND(Etusivu!A27&gt;=600,Etusivu!A27&lt;=800)*AND(Etusivu!B27&gt;=501,Etusivu!B27&lt;=610)*AND(Etusivu!D27&gt;=151,Etusivu!D27&lt;=200),J43,IF(AND(Etusivu!A27&gt;=801,Etusivu!A27&lt;=1000)*AND(Etusivu!B27&gt;=501,Etusivu!B27&lt;=610)*AND(Etusivu!D27&gt;=151,Etusivu!D27&lt;=200),J44,IF(AND(Etusivu!A27&gt;=1001,Etusivu!A27&lt;=1200)*AND(Etusivu!B27&gt;=501,Etusivu!B27&lt;=610)*AND(Etusivu!D27&gt;=151,Etusivu!D27&lt;=200),J45,IF(AND(Etusivu!A27&gt;=1201,Etusivu!A27&lt;=1400)*AND(Etusivu!B27&gt;=501,Etusivu!B27&lt;=610)*AND(Etusivu!D27&gt;=151,Etusivu!D27&lt;=200),J46,IF(AND(Etusivu!A27&gt;=1401,Etusivu!A27&lt;=1600)*AND(Etusivu!B27&gt;=501,Etusivu!B27&lt;=610)*AND(Etusivu!D27&gt;=151,Etusivu!D27&lt;=200),J47,IF(AND(Etusivu!A27&gt;=1601,Etusivu!A27&lt;=1800)*AND(Etusivu!B27&gt;=501,Etusivu!B27&lt;=610)*AND(Etusivu!D27&gt;=151,Etusivu!D27&lt;=200),J48,IF(AND(Etusivu!A27&gt;=1801,Etusivu!A27&lt;=2000)*AND(Etusivu!B27&gt;=501,Etusivu!B27&lt;=610)*AND(Etusivu!D27&gt;=151,Etusivu!D27&lt;=200),J49,IF(AND(Etusivu!A27&gt;=2001,Etusivu!A27&lt;=2200)*AND(Etusivu!B27&gt;=501,Etusivu!B27&lt;=610)*AND(Etusivu!D27&gt;=151,Etusivu!D27&lt;=200),J50,IF(AND(Etusivu!A27&gt;=2201,Etusivu!A27&lt;=2400)*AND(Etusivu!B27&gt;=501,Etusivu!B27&lt;=610)*AND(Etusivu!D27&gt;=151,Etusivu!D27&lt;=200),J51,IF(AND(Etusivu!A27&gt;=2401,Etusivu!A27&lt;=2600)*AND(Etusivu!B27&gt;=501,Etusivu!B27&lt;=610)*AND(Etusivu!D27&gt;=151,Etusivu!D27&lt;=200),J52,IF(AND(Etusivu!A27&gt;=2601,Etusivu!A27&lt;=2800)*AND(Etusivu!B27&gt;=501,Etusivu!B27&lt;=610)*AND(Etusivu!D27&gt;=151,Etusivu!D27&lt;=200),J53,IF(AND(Etusivu!A27&gt;=2801,Etusivu!A27&lt;=3000)*AND(Etusivu!B27&gt;=501,Etusivu!B27&lt;=610)*AND(Etusivu!D27&gt;=151,Etusivu!D27&lt;=200),J54,"Ei määrärajoissa"))))))))))))))))))))))))))))))))))))))))))))))))</f>
        <v>153</v>
      </c>
      <c r="Q38">
        <f>IF(AND(Etusivu!A27&gt;=600,Etusivu!A27&lt;=800)*AND(Etusivu!B27&gt;=400,Etusivu!B27&lt;=500)*AND(Etusivu!D27&gt;=30,Etusivu!D27&lt;=150),H30,IF(AND(Etusivu!A27&gt;=801,Etusivu!A27&lt;=1000)*AND(Etusivu!B27&gt;=400,Etusivu!B27&lt;=500)*AND(Etusivu!D27&gt;=30,Etusivu!D27&lt;=150),H31,IF(AND(Etusivu!A27&gt;=1001,Etusivu!A27&lt;=1200)*AND(Etusivu!B27&gt;=400,Etusivu!B27&lt;=500)*AND(Etusivu!D27&gt;=30,Etusivu!D27&lt;=150),H32,IF(AND(Etusivu!A27&gt;=1201,Etusivu!A27&lt;=1400)*AND(Etusivu!B27&gt;=400,Etusivu!B27&lt;=500)*AND(Etusivu!D27&gt;=30,Etusivu!D27&lt;=150),H33,IF(AND(Etusivu!A27&gt;=1401,Etusivu!A27&lt;=1600)*AND(Etusivu!B27&gt;=400,Etusivu!B27&lt;=500)*AND(Etusivu!D27&gt;=30,Etusivu!D27&lt;=150),H34,IF(AND(Etusivu!A27&gt;=1601,Etusivu!A27&lt;=1800)*AND(Etusivu!B27&gt;=400,Etusivu!B27&lt;=500)*AND(Etusivu!D27&gt;=30,Etusivu!D27&lt;=150),H35,IF(AND(Etusivu!A27&gt;=1801,Etusivu!A27&lt;=2000)*AND(Etusivu!B27&gt;=400,Etusivu!B27&lt;=500)*AND(Etusivu!D27&gt;=30,Etusivu!D27&lt;=150),H36,IF(AND(Etusivu!A27&gt;=2001,Etusivu!A27&lt;=2200)*AND(Etusivu!B27&gt;=400,Etusivu!B27&lt;=500)*AND(Etusivu!D27&gt;=30,Etusivu!D27&lt;=150),H37,IF(AND(Etusivu!A27&gt;=2201,Etusivu!A27&lt;=2400)*AND(Etusivu!B27&gt;=400,Etusivu!B27&lt;=500)*AND(Etusivu!D27&gt;=30,Etusivu!D27&lt;=150),H38,IF(AND(Etusivu!A27&gt;=2401,Etusivu!A27&lt;=2600)*AND(Etusivu!B27&gt;=400,Etusivu!B27&lt;=500)*AND(Etusivu!D27&gt;=30,Etusivu!D27&lt;=150),H39,IF(AND(Etusivu!A27&gt;=2601,Etusivu!A27&lt;=2800)*AND(Etusivu!B27&gt;=400,Etusivu!B27&lt;=500)*AND(Etusivu!D27&gt;=30,Etusivu!D27&lt;=150),H40,IF(AND(Etusivu!A27&gt;=2801,Etusivu!A27&lt;=3000)*AND(Etusivu!B27&gt;=400,Etusivu!B27&lt;=500)*AND(Etusivu!D27&gt;=30,Etusivu!D27&lt;=150),H41,IF(AND(Etusivu!A27&gt;=600,Etusivu!A27&lt;=800)*AND(Etusivu!B27&gt;=501,Etusivu!B27&lt;=610)*AND(Etusivu!D27&gt;=30,Etusivu!D27&lt;=150),H43,IF(AND(Etusivu!A27&gt;=801,Etusivu!A27&lt;=1000)*AND(Etusivu!B27&gt;=501,Etusivu!B27&lt;=610)*AND(Etusivu!D27&gt;=30,Etusivu!D27&lt;=150),H44,IF(AND(Etusivu!A27&gt;=1001,Etusivu!A27&lt;=1200)*AND(Etusivu!B27&gt;=501,Etusivu!B27&lt;=610)*AND(Etusivu!D27&gt;=30,Etusivu!D27&lt;=150),H45,IF(AND(Etusivu!A27&gt;=1201,Etusivu!A27&lt;=1400)*AND(Etusivu!B27&gt;=501,Etusivu!B27&lt;=610)*AND(Etusivu!D27&gt;=30,Etusivu!D27&lt;=150),H46,IF(AND(Etusivu!A27&gt;=1401,Etusivu!A27&lt;=1600)*AND(Etusivu!B27&gt;=501,Etusivu!B27&lt;=610)*AND(Etusivu!D27&gt;=30,Etusivu!D27&lt;=150),H47,IF(AND(Etusivu!A27&gt;=1601,Etusivu!A27&lt;=1800)*AND(Etusivu!B27&gt;=501,Etusivu!B27&lt;=610)*AND(Etusivu!D27&gt;=30,Etusivu!D27&lt;=150),H48,IF(AND(Etusivu!A27&gt;=1801,Etusivu!A27&lt;=2000)*AND(Etusivu!B27&gt;=501,Etusivu!B27&lt;=610)*AND(Etusivu!D27&gt;=30,Etusivu!D27&lt;=150),H49,IF(AND(Etusivu!A27&gt;=2001,Etusivu!A27&lt;=2200)*AND(Etusivu!B27&gt;=501,Etusivu!B27&lt;=610)*AND(Etusivu!D27&gt;=30,Etusivu!D27&lt;=150),H50,IF(AND(Etusivu!A27&gt;=2201,Etusivu!A27&lt;=2400)*AND(Etusivu!B27&gt;=501,Etusivu!B27&lt;=610)*AND(Etusivu!D27&gt;=30,Etusivu!D27&lt;=150),H51,IF(AND(Etusivu!A27&gt;=2401,Etusivu!A27&lt;=2600)*AND(Etusivu!B27&gt;=501,Etusivu!B27&lt;=610)*AND(Etusivu!D27&gt;=30,Etusivu!D27&lt;=150),H52,IF(AND(Etusivu!A27&gt;=2601,Etusivu!A27&lt;=2800)*AND(Etusivu!B27&gt;=501,Etusivu!B27&lt;=610)*AND(Etusivu!D27&gt;=30,Etusivu!D27&lt;=150),H53,IF(AND(Etusivu!A27&gt;=2801,Etusivu!A27&lt;=3000)*AND(Etusivu!B27&gt;=501,Etusivu!B27&lt;=610)*AND(Etusivu!D27&gt;=30,Etusivu!D27&lt;=150),H54,IF(AND(Etusivu!A27&gt;=600,Etusivu!A27&lt;=800)*AND(Etusivu!B27&gt;=400,Etusivu!B27&lt;=500)*AND(Etusivu!D27&gt;=151,Etusivu!D27&lt;=200),K30,IF(AND(Etusivu!A27&gt;=801,Etusivu!A27&lt;=1000)*AND(Etusivu!B27&gt;=400,Etusivu!B27&lt;=500)*AND(Etusivu!D27&gt;=151,Etusivu!D27&lt;=200),K31,IF(AND(Etusivu!A27&gt;=1001,Etusivu!A27&lt;=1200)*AND(Etusivu!B27&gt;=400,Etusivu!B27&lt;=500)*AND(Etusivu!D27&gt;=151,Etusivu!D27&lt;=200),K32,IF(AND(Etusivu!A27&gt;=1201,Etusivu!A27&lt;=1400)*AND(Etusivu!B27&gt;=400,Etusivu!B27&lt;=500)*AND(Etusivu!D27&gt;=151,Etusivu!D27&lt;=200),K33,IF(AND(Etusivu!A27&gt;=1401,Etusivu!A27&lt;=1600)*AND(Etusivu!B27&gt;=400,Etusivu!B27&lt;=500)*AND(Etusivu!D27&gt;=151,Etusivu!D27&lt;=200),K34,IF(AND(Etusivu!A27&gt;=1601,Etusivu!A27&lt;=1800)*AND(Etusivu!B27&gt;=400,Etusivu!B27&lt;=500)*AND(Etusivu!D27&gt;=151,Etusivu!D27&lt;=200),K35,IF(AND(Etusivu!A27&gt;=1801,Etusivu!A27&lt;=2000)*AND(Etusivu!B27&gt;=400,Etusivu!B27&lt;=500)*AND(Etusivu!D27&gt;=151,Etusivu!D27&lt;=200),K36,IF(AND(Etusivu!A27&gt;=2001,Etusivu!A27&lt;=2200)*AND(Etusivu!B27&gt;=400,Etusivu!B27&lt;=500)*AND(Etusivu!D27&gt;=151,Etusivu!D27&lt;=200),K37,IF(AND(Etusivu!A27&gt;=2201,Etusivu!A27&lt;=2400)*AND(Etusivu!B27&gt;=400,Etusivu!B27&lt;=500)*AND(Etusivu!D27&gt;=151,Etusivu!D27&lt;=200),K38,IF(AND(Etusivu!A27&gt;=2401,Etusivu!A27&lt;=2600)*AND(Etusivu!B27&gt;=400,Etusivu!B27&lt;=500)*AND(Etusivu!D27&gt;=151,Etusivu!D27&lt;=200),K39,IF(AND(Etusivu!A27&gt;=2601,Etusivu!A27&lt;=2800)*AND(Etusivu!B27&gt;=400,Etusivu!B27&lt;=500)*AND(Etusivu!D27&gt;=151,Etusivu!D27&lt;=200),K40,IF(AND(Etusivu!A27&gt;=2801,Etusivu!A27&lt;=3000)*AND(Etusivu!B27&gt;=400,Etusivu!B27&lt;=500)*AND(Etusivu!D27&gt;=151,Etusivu!D27&lt;=200),K41,IF(AND(Etusivu!A27&gt;=600,Etusivu!A27&lt;=800)*AND(Etusivu!B27&gt;=501,Etusivu!B27&lt;=610)*AND(Etusivu!D27&gt;=151,Etusivu!D27&lt;=200),K43,IF(AND(Etusivu!A27&gt;=801,Etusivu!A27&lt;=1000)*AND(Etusivu!B27&gt;=501,Etusivu!B27&lt;=610)*AND(Etusivu!D27&gt;=151,Etusivu!D27&lt;=200),K44,IF(AND(Etusivu!A27&gt;=1001,Etusivu!A27&lt;=1200)*AND(Etusivu!B27&gt;=501,Etusivu!B27&lt;=610)*AND(Etusivu!D27&gt;=151,Etusivu!D27&lt;=200),K45,IF(AND(Etusivu!A27&gt;=1201,Etusivu!A27&lt;=1400)*AND(Etusivu!B27&gt;=501,Etusivu!B27&lt;=610)*AND(Etusivu!D27&gt;=151,Etusivu!D27&lt;=200),K46,IF(AND(Etusivu!A27&gt;=1401,Etusivu!A27&lt;=1600)*AND(Etusivu!B27&gt;=501,Etusivu!B27&lt;=610)*AND(Etusivu!D27&gt;=151,Etusivu!D27&lt;=200),K47,IF(AND(Etusivu!A27&gt;=1601,Etusivu!A27&lt;=1800)*AND(Etusivu!B27&gt;=501,Etusivu!B27&lt;=610)*AND(Etusivu!D27&gt;=151,Etusivu!D27&lt;=200),K48,IF(AND(Etusivu!A27&gt;=1801,Etusivu!A27&lt;=2000)*AND(Etusivu!B27&gt;=501,Etusivu!B27&lt;=610)*AND(Etusivu!D27&gt;=151,Etusivu!D27&lt;=200),K49,IF(AND(Etusivu!A27&gt;=2001,Etusivu!A27&lt;=2200)*AND(Etusivu!B27&gt;=501,Etusivu!B27&lt;=610)*AND(Etusivu!D27&gt;=151,Etusivu!D27&lt;=200),K50,IF(AND(Etusivu!A27&gt;=2201,Etusivu!A27&lt;=2400)*AND(Etusivu!B27&gt;=501,Etusivu!B27&lt;=610)*AND(Etusivu!D27&gt;=151,Etusivu!D27&lt;=200),K51,IF(AND(Etusivu!A27&gt;=2401,Etusivu!A27&lt;=2600)*AND(Etusivu!B27&gt;=501,Etusivu!B27&lt;=610)*AND(Etusivu!D27&gt;=151,Etusivu!D27&lt;=200),K52,IF(AND(Etusivu!A27&gt;=2601,Etusivu!A27&lt;=2800)*AND(Etusivu!B27&gt;=501,Etusivu!B27&lt;=610)*AND(Etusivu!D27&gt;=151,Etusivu!D27&lt;=200),K53,IF(AND(Etusivu!A27&gt;=2801,Etusivu!A27&lt;=3000)*AND(Etusivu!B27&gt;=501,Etusivu!B27&lt;=610)*AND(Etusivu!D27&gt;=151,Etusivu!D27&lt;=200),K54,"Ei määrärajoissa"))))))))))))))))))))))))))))))))))))))))))))))))</f>
        <v>177</v>
      </c>
      <c r="T38" s="13"/>
      <c r="U38" s="13"/>
      <c r="Z38">
        <f>IF(AND(Etusivu!A27&gt;=600,Etusivu!A27&lt;=800)*AND(Etusivu!B27&gt;=400,Etusivu!B27&lt;=500)*AND(Etusivu!F27&gt;=30,Etusivu!F27&lt;=150),F30,IF(AND(Etusivu!A27&gt;=801,Etusivu!A27&lt;=1000)*AND(Etusivu!B27&gt;=400,Etusivu!B27&lt;=500)*AND(Etusivu!F27&gt;=30,Etusivu!F27&lt;=150),F31,IF(AND(Etusivu!A27&gt;=1001,Etusivu!A27&lt;=1200)*AND(Etusivu!B27&gt;=400,Etusivu!B27&lt;=500)*AND(Etusivu!F27&gt;=30,Etusivu!F27&lt;=150),F32,IF(AND(Etusivu!A27&gt;=1201,Etusivu!A27&lt;=1400)*AND(Etusivu!B27&gt;=400,Etusivu!B27&lt;=500)*AND(Etusivu!F27&gt;=30,Etusivu!F27&lt;=150),F33,IF(AND(Etusivu!A27&gt;=1401,Etusivu!A27&lt;=1600)*AND(Etusivu!B27&gt;=400,Etusivu!B27&lt;=500)*AND(Etusivu!F27&gt;=30,Etusivu!F27&lt;=150),F34,IF(AND(Etusivu!A27&gt;=1601,Etusivu!A27&lt;=1800)*AND(Etusivu!B27&gt;=400,Etusivu!B27&lt;=500)*AND(Etusivu!F27&gt;=30,Etusivu!F27&lt;=150),F35,IF(AND(Etusivu!A27&gt;=1801,Etusivu!A27&lt;=2000)*AND(Etusivu!B27&gt;=400,Etusivu!B27&lt;=500)*AND(Etusivu!F27&gt;=30,Etusivu!F27&lt;=150),F36,IF(AND(Etusivu!A27&gt;=2001,Etusivu!A27&lt;=2200)*AND(Etusivu!B27&gt;=400,Etusivu!B27&lt;=500)*AND(Etusivu!F27&gt;=30,Etusivu!F27&lt;=150),F37,IF(AND(Etusivu!A27&gt;=2201,Etusivu!A27&lt;=2400)*AND(Etusivu!B27&gt;=400,Etusivu!B27&lt;=500)*AND(Etusivu!F27&gt;=30,Etusivu!F27&lt;=150),F38,IF(AND(Etusivu!A27&gt;=2401,Etusivu!A27&lt;=2600)*AND(Etusivu!B27&gt;=400,Etusivu!B27&lt;=500)*AND(Etusivu!F27&gt;=30,Etusivu!F27&lt;=150),F39,IF(AND(Etusivu!A27&gt;=2601,Etusivu!A27&lt;=2800)*AND(Etusivu!B27&gt;=400,Etusivu!B27&lt;=500)*AND(Etusivu!F27&gt;=30,Etusivu!F27&lt;=150),F40,IF(AND(Etusivu!A27&gt;=2801,Etusivu!A27&lt;=3000)*AND(Etusivu!B27&gt;=400,Etusivu!B27&lt;=500)*AND(Etusivu!F27&gt;=30,Etusivu!F27&lt;=150),F41,IF(AND(Etusivu!A27&gt;=600,Etusivu!A27&lt;=800)*AND(Etusivu!B27&gt;=501,Etusivu!B27&lt;=610)*AND(Etusivu!F27&gt;=30,Etusivu!F27&lt;=150),F43,IF(AND(Etusivu!A27&gt;=801,Etusivu!A27&lt;=1000)*AND(Etusivu!B27&gt;=501,Etusivu!B27&lt;=610)*AND(Etusivu!F27&gt;=30,Etusivu!F27&lt;=150),F44,IF(AND(Etusivu!A27&gt;=1001,Etusivu!A27&lt;=1200)*AND(Etusivu!B27&gt;=501,Etusivu!B27&lt;=610)*AND(Etusivu!F27&gt;=30,Etusivu!F27&lt;=150),F45,IF(AND(Etusivu!A27&gt;=1201,Etusivu!A27&lt;=1400)*AND(Etusivu!B27&gt;=501,Etusivu!B27&lt;=610)*AND(Etusivu!F27&gt;=30,Etusivu!F27&lt;=150),F46,IF(AND(Etusivu!A27&gt;=1401,Etusivu!A27&lt;=1600)*AND(Etusivu!B27&gt;=501,Etusivu!B27&lt;=610)*AND(Etusivu!F27&gt;=30,Etusivu!F27&lt;=150),F47,IF(AND(Etusivu!A27&gt;=1601,Etusivu!A27&lt;=1800)*AND(Etusivu!B27&gt;=501,Etusivu!B27&lt;=610)*AND(Etusivu!F27&gt;=30,Etusivu!F27&lt;=150),F48,IF(AND(Etusivu!A27&gt;=1801,Etusivu!A27&lt;=2000)*AND(Etusivu!B27&gt;=501,Etusivu!B27&lt;=610)*AND(Etusivu!F27&gt;=30,Etusivu!F27&lt;=150),F49,IF(AND(Etusivu!A27&gt;=2001,Etusivu!A27&lt;=2200)*AND(Etusivu!B27&gt;=501,Etusivu!B27&lt;=610)*AND(Etusivu!F27&gt;=30,Etusivu!F27&lt;=150),F50,IF(AND(Etusivu!A27&gt;=2201,Etusivu!A27&lt;=2400)*AND(Etusivu!B27&gt;=501,Etusivu!B27&lt;=610)*AND(Etusivu!F27&gt;=30,Etusivu!F27&lt;=150),F51,IF(AND(Etusivu!A27&gt;=2401,Etusivu!A27&lt;=2600)*AND(Etusivu!B27&gt;=501,Etusivu!B27&lt;=610)*AND(Etusivu!F27&gt;=30,Etusivu!F27&lt;=150),F52,IF(AND(Etusivu!A27&gt;=2601,Etusivu!A27&lt;=2800)*AND(Etusivu!B27&gt;=501,Etusivu!B27&lt;=610)*AND(Etusivu!F27&gt;=30,Etusivu!F27&lt;=150),F53,IF(AND(Etusivu!A27&gt;=2801,Etusivu!A27&lt;=3000)*AND(Etusivu!B27&gt;=501,Etusivu!B27&lt;=610)*AND(Etusivu!F27&gt;=30,Etusivu!F27&lt;=150),F54,IF(AND(Etusivu!A27&gt;=600,Etusivu!A27&lt;=800)*AND(Etusivu!B27&gt;=400,Etusivu!B27&lt;=500)*AND(Etusivu!F27&gt;=151,Etusivu!F27&lt;=200),I30,IF(AND(Etusivu!A27&gt;=801,Etusivu!A27&lt;=1000)*AND(Etusivu!B27&gt;=400,Etusivu!B27&lt;=500)*AND(Etusivu!F27&gt;=151,Etusivu!F27&lt;=200),I31,IF(AND(Etusivu!A27&gt;=1001,Etusivu!A27&lt;=1200)*AND(Etusivu!B27&gt;=400,Etusivu!B27&lt;=500)*AND(Etusivu!F27&gt;=151,Etusivu!F27&lt;=200),I32,IF(AND(Etusivu!A27&gt;=1201,Etusivu!A27&lt;=1400)*AND(Etusivu!B27&gt;=400,Etusivu!B27&lt;=500)*AND(Etusivu!F27&gt;=151,Etusivu!F27&lt;=200),I33,IF(AND(Etusivu!A27&gt;=1401,Etusivu!A27&lt;=1600)*AND(Etusivu!B27&gt;=400,Etusivu!B27&lt;=500)*AND(Etusivu!F27&gt;=151,Etusivu!F27&lt;=200),I34,IF(AND(Etusivu!A27&gt;=1601,Etusivu!A27&lt;=1800)*AND(Etusivu!B27&gt;=400,Etusivu!B27&lt;=500)*AND(Etusivu!F27&gt;=151,Etusivu!F27&lt;=200),I35,IF(AND(Etusivu!A27&gt;=1801,Etusivu!A27&lt;=2000)*AND(Etusivu!B27&gt;=400,Etusivu!B27&lt;=500)*AND(Etusivu!F27&gt;=151,Etusivu!F27&lt;=200),I36,IF(AND(Etusivu!A27&gt;=2001,Etusivu!A27&lt;=2200)*AND(Etusivu!B27&gt;=400,Etusivu!B27&lt;=500)*AND(Etusivu!F27&gt;=151,Etusivu!F27&lt;=200),I37,IF(AND(Etusivu!A27&gt;=2201,Etusivu!A27&lt;=2400)*AND(Etusivu!B27&gt;=400,Etusivu!B27&lt;=500)*AND(Etusivu!F27&gt;=151,Etusivu!F27&lt;=200),I38,IF(AND(Etusivu!A27&gt;=2401,Etusivu!A27&lt;=2600)*AND(Etusivu!B27&gt;=400,Etusivu!B27&lt;=500)*AND(Etusivu!F27&gt;=151,Etusivu!F27&lt;=200),I39,IF(AND(Etusivu!A27&gt;=2601,Etusivu!A27&lt;=2800)*AND(Etusivu!B27&gt;=400,Etusivu!B27&lt;=500)*AND(Etusivu!F27&gt;=151,Etusivu!F27&lt;=200),I40,IF(AND(Etusivu!A27&gt;=2801,Etusivu!A27&lt;=3000)*AND(Etusivu!B27&gt;=400,Etusivu!B27&lt;=500)*AND(Etusivu!F27&gt;=151,Etusivu!F27&lt;=200),I41,IF(AND(Etusivu!A27&gt;=600,Etusivu!A27&lt;=800)*AND(Etusivu!B27&gt;=501,Etusivu!B27&lt;=610)*AND(Etusivu!F27&gt;=151,Etusivu!F27&lt;=200),I43,IF(AND(Etusivu!A27&gt;=801,Etusivu!A27&lt;=1000)*AND(Etusivu!B27&gt;=501,Etusivu!B27&lt;=610)*AND(Etusivu!F27&gt;=151,Etusivu!F27&lt;=200),I44,IF(AND(Etusivu!A27&gt;=1001,Etusivu!A27&lt;=1200)*AND(Etusivu!B27&gt;=501,Etusivu!B27&lt;=610)*AND(Etusivu!F27&gt;=151,Etusivu!F27&lt;=200),I45,IF(AND(Etusivu!A27&gt;=1201,Etusivu!A27&lt;=1400)*AND(Etusivu!B27&gt;=501,Etusivu!B27&lt;=610)*AND(Etusivu!F27&gt;=151,Etusivu!F27&lt;=200),I46,IF(AND(Etusivu!A27&gt;=1401,Etusivu!A27&lt;=1600)*AND(Etusivu!B27&gt;=501,Etusivu!B27&lt;=610)*AND(Etusivu!F27&gt;=151,Etusivu!F27&lt;=200),I47,IF(AND(Etusivu!A27&gt;=1601,Etusivu!A27&lt;=1800)*AND(Etusivu!B27&gt;=501,Etusivu!B27&lt;=610)*AND(Etusivu!F27&gt;=151,Etusivu!F27&lt;=200),I48,IF(AND(Etusivu!A27&gt;=1801,Etusivu!A27&lt;=2000)*AND(Etusivu!B27&gt;=501,Etusivu!B27&lt;=610)*AND(Etusivu!F27&gt;=151,Etusivu!F27&lt;=200),I49,IF(AND(Etusivu!A27&gt;=2001,Etusivu!A27&lt;=2200)*AND(Etusivu!B27&gt;=501,Etusivu!B27&lt;=610)*AND(Etusivu!F27&gt;=151,Etusivu!F27&lt;=200),I50,IF(AND(Etusivu!A27&gt;=2201,Etusivu!A27&lt;=2400)*AND(Etusivu!B27&gt;=501,Etusivu!B27&lt;=610)*AND(Etusivu!F27&gt;=151,Etusivu!F27&lt;=200),I51,IF(AND(Etusivu!A27&gt;=2401,Etusivu!A27&lt;=2600)*AND(Etusivu!B27&gt;=501,Etusivu!B27&lt;=610)*AND(Etusivu!F27&gt;=151,Etusivu!F27&lt;=200),I52,IF(AND(Etusivu!A27&gt;=2601,Etusivu!A27&lt;=2800)*AND(Etusivu!B27&gt;=501,Etusivu!B27&lt;=610)*AND(Etusivu!F27&gt;=151,Etusivu!F27&lt;=200),I53,IF(AND(Etusivu!A27&gt;=2801,Etusivu!A27&lt;=3000)*AND(Etusivu!B27&gt;=501,Etusivu!B27&lt;=610)*AND(Etusivu!F27&gt;=151,Etusivu!F27&lt;=200),I54,"Ei määrärajoissa"))))))))))))))))))))))))))))))))))))))))))))))))</f>
        <v>128</v>
      </c>
      <c r="AA38">
        <f>IF(AND(Etusivu!A27&gt;=600,Etusivu!A27&lt;=800)*AND(Etusivu!B27&gt;=400,Etusivu!B27&lt;=500)*AND(Etusivu!F27&gt;=30,Etusivu!F27&lt;=150),G30,IF(AND(Etusivu!A27&gt;=801,Etusivu!A27&lt;=1000)*AND(Etusivu!B27&gt;=400,Etusivu!B27&lt;=500)*AND(Etusivu!F27&gt;=30,Etusivu!F27&lt;=150),G31,IF(AND(Etusivu!A27&gt;=1001,Etusivu!A27&lt;=1200)*AND(Etusivu!B27&gt;=400,Etusivu!B27&lt;=500)*AND(Etusivu!F27&gt;=30,Etusivu!F27&lt;=150),G32,IF(AND(Etusivu!A27&gt;=1201,Etusivu!A27&lt;=1400)*AND(Etusivu!B27&gt;=400,Etusivu!B27&lt;=500)*AND(Etusivu!F27&gt;=30,Etusivu!F27&lt;=150),G33,IF(AND(Etusivu!A27&gt;=1401,Etusivu!A27&lt;=1600)*AND(Etusivu!B27&gt;=400,Etusivu!B27&lt;=500)*AND(Etusivu!F27&gt;=30,Etusivu!F27&lt;=150),G34,IF(AND(Etusivu!A27&gt;=1601,Etusivu!A27&lt;=1800)*AND(Etusivu!B27&gt;=400,Etusivu!B27&lt;=500)*AND(Etusivu!F27&gt;=30,Etusivu!F27&lt;=150),G35,IF(AND(Etusivu!A27&gt;=1801,Etusivu!A27&lt;=2000)*AND(Etusivu!B27&gt;=400,Etusivu!B27&lt;=500)*AND(Etusivu!F27&gt;=30,Etusivu!F27&lt;=150),G36,IF(AND(Etusivu!A27&gt;=2001,Etusivu!A27&lt;=2200)*AND(Etusivu!B27&gt;=400,Etusivu!B27&lt;=500)*AND(Etusivu!F27&gt;=30,Etusivu!F27&lt;=150),G37,IF(AND(Etusivu!A27&gt;=2201,Etusivu!A27&lt;=2400)*AND(Etusivu!B27&gt;=400,Etusivu!B27&lt;=500)*AND(Etusivu!F27&gt;=30,Etusivu!F27&lt;=150),G38,IF(AND(Etusivu!A27&gt;=2401,Etusivu!A27&lt;=2600)*AND(Etusivu!B27&gt;=400,Etusivu!B27&lt;=500)*AND(Etusivu!F27&gt;=30,Etusivu!F27&lt;=150),G39,IF(AND(Etusivu!A27&gt;=2601,Etusivu!A27&lt;=2800)*AND(Etusivu!B27&gt;=400,Etusivu!B27&lt;=500)*AND(Etusivu!F27&gt;=30,Etusivu!F27&lt;=150),G40,IF(AND(Etusivu!A27&gt;=2801,Etusivu!A27&lt;=3000)*AND(Etusivu!B27&gt;=400,Etusivu!B27&lt;=500)*AND(Etusivu!F27&gt;=30,Etusivu!F27&lt;=150),G41,IF(AND(Etusivu!A27&gt;=600,Etusivu!A27&lt;=800)*AND(Etusivu!B27&gt;=501,Etusivu!B27&lt;=610)*AND(Etusivu!F27&gt;=30,Etusivu!F27&lt;=150),G43,IF(AND(Etusivu!A27&gt;=801,Etusivu!A27&lt;=1000)*AND(Etusivu!B27&gt;=501,Etusivu!B27&lt;=610)*AND(Etusivu!F27&gt;=30,Etusivu!F27&lt;=150),G44,IF(AND(Etusivu!A27&gt;=1001,Etusivu!A27&lt;=1200)*AND(Etusivu!B27&gt;=501,Etusivu!B27&lt;=610)*AND(Etusivu!F27&gt;=30,Etusivu!F27&lt;=150),G45,IF(AND(Etusivu!A27&gt;=1201,Etusivu!A27&lt;=1400)*AND(Etusivu!B27&gt;=501,Etusivu!B27&lt;=610)*AND(Etusivu!F27&gt;=30,Etusivu!F27&lt;=150),G46,IF(AND(Etusivu!A27&gt;=1401,Etusivu!A27&lt;=1600)*AND(Etusivu!B27&gt;=501,Etusivu!B27&lt;=610)*AND(Etusivu!F27&gt;=30,Etusivu!F27&lt;=150),G47,IF(AND(Etusivu!A27&gt;=1601,Etusivu!A27&lt;=1800)*AND(Etusivu!B27&gt;=501,Etusivu!B27&lt;=610)*AND(Etusivu!F27&gt;=30,Etusivu!F27&lt;=150),G48,IF(AND(Etusivu!A27&gt;=1801,Etusivu!A27&lt;=2000)*AND(Etusivu!B27&gt;=501,Etusivu!B27&lt;=610)*AND(Etusivu!F27&gt;=30,Etusivu!F27&lt;=150),G49,IF(AND(Etusivu!A27&gt;=2001,Etusivu!A27&lt;=2200)*AND(Etusivu!B27&gt;=501,Etusivu!B27&lt;=610)*AND(Etusivu!F27&gt;=30,Etusivu!F27&lt;=150),G50,IF(AND(Etusivu!A27&gt;=2201,Etusivu!A27&lt;=2400)*AND(Etusivu!B27&gt;=501,Etusivu!B27&lt;=610)*AND(Etusivu!F27&gt;=30,Etusivu!F27&lt;=150),G51,IF(AND(Etusivu!A27&gt;=2401,Etusivu!A27&lt;=2600)*AND(Etusivu!B27&gt;=501,Etusivu!B27&lt;=610)*AND(Etusivu!F27&gt;=30,Etusivu!F27&lt;=150),G52,IF(AND(Etusivu!A27&gt;=2601,Etusivu!A27&lt;=2800)*AND(Etusivu!B27&gt;=501,Etusivu!B27&lt;=610)*AND(Etusivu!F27&gt;=30,Etusivu!F27&lt;=150),G53,IF(AND(Etusivu!A27&gt;=2801,Etusivu!A27&lt;=3000)*AND(Etusivu!B27&gt;=501,Etusivu!B27&lt;=610)*AND(Etusivu!F27&gt;=30,Etusivu!F27&lt;=150),G54,IF(AND(Etusivu!A27&gt;=600,Etusivu!A27&lt;=800)*AND(Etusivu!B27&gt;=400,Etusivu!B27&lt;=500)*AND(Etusivu!F27&gt;=151,Etusivu!F27&lt;=200),J30,IF(AND(Etusivu!A27&gt;=801,Etusivu!A27&lt;=1000)*AND(Etusivu!B27&gt;=400,Etusivu!B27&lt;=500)*AND(Etusivu!F27&gt;=151,Etusivu!F27&lt;=200),J31,IF(AND(Etusivu!A27&gt;=1001,Etusivu!A27&lt;=1200)*AND(Etusivu!B27&gt;=400,Etusivu!B27&lt;=500)*AND(Etusivu!F27&gt;=151,Etusivu!F27&lt;=200),J32,IF(AND(Etusivu!A27&gt;=1201,Etusivu!A27&lt;=1400)*AND(Etusivu!B27&gt;=400,Etusivu!B27&lt;=500)*AND(Etusivu!F27&gt;=151,Etusivu!F27&lt;=200),J33,IF(AND(Etusivu!A27&gt;=1401,Etusivu!A27&lt;=1600)*AND(Etusivu!B27&gt;=400,Etusivu!B27&lt;=500)*AND(Etusivu!F27&gt;=151,Etusivu!F27&lt;=200),J34,IF(AND(Etusivu!A27&gt;=1601,Etusivu!A27&lt;=1800)*AND(Etusivu!B27&gt;=400,Etusivu!B27&lt;=500)*AND(Etusivu!F27&gt;=151,Etusivu!F27&lt;=200),J35,IF(AND(Etusivu!A27&gt;=1801,Etusivu!A27&lt;=2000)*AND(Etusivu!B27&gt;=400,Etusivu!B27&lt;=500)*AND(Etusivu!F27&gt;=151,Etusivu!F27&lt;=200),J36,IF(AND(Etusivu!A27&gt;=2001,Etusivu!A27&lt;=2200)*AND(Etusivu!B27&gt;=400,Etusivu!B27&lt;=500)*AND(Etusivu!F27&gt;=151,Etusivu!F27&lt;=200),J37,IF(AND(Etusivu!A27&gt;=2201,Etusivu!A27&lt;=2400)*AND(Etusivu!B27&gt;=400,Etusivu!B27&lt;=500)*AND(Etusivu!F27&gt;=151,Etusivu!F27&lt;=200),J38,IF(AND(Etusivu!A27&gt;=2401,Etusivu!A27&lt;=2600)*AND(Etusivu!B27&gt;=400,Etusivu!B27&lt;=500)*AND(Etusivu!F27&gt;=151,Etusivu!F27&lt;=200),J39,IF(AND(Etusivu!A27&gt;=2601,Etusivu!A27&lt;=2800)*AND(Etusivu!B27&gt;=400,Etusivu!B27&lt;=500)*AND(Etusivu!F27&gt;=151,Etusivu!F27&lt;=200),J40,IF(AND(Etusivu!A27&gt;=2801,Etusivu!A27&lt;=3000)*AND(Etusivu!B27&gt;=400,Etusivu!B27&lt;=500)*AND(Etusivu!F27&gt;=151,Etusivu!F27&lt;=200),J41,IF(AND(Etusivu!A27&gt;=600,Etusivu!A27&lt;=800)*AND(Etusivu!B27&gt;=501,Etusivu!B27&lt;=610)*AND(Etusivu!F27&gt;=151,Etusivu!F27&lt;=200),J43,IF(AND(Etusivu!A27&gt;=801,Etusivu!A27&lt;=1000)*AND(Etusivu!B27&gt;=501,Etusivu!B27&lt;=610)*AND(Etusivu!F27&gt;=151,Etusivu!F27&lt;=200),J44,IF(AND(Etusivu!A27&gt;=1001,Etusivu!A27&lt;=1200)*AND(Etusivu!B27&gt;=501,Etusivu!B27&lt;=610)*AND(Etusivu!F27&gt;=151,Etusivu!F27&lt;=200),J45,IF(AND(Etusivu!A27&gt;=1201,Etusivu!A27&lt;=1400)*AND(Etusivu!B27&gt;=501,Etusivu!B27&lt;=610)*AND(Etusivu!F27&gt;=151,Etusivu!F27&lt;=200),J46,IF(AND(Etusivu!A27&gt;=1401,Etusivu!A27&lt;=1600)*AND(Etusivu!B27&gt;=501,Etusivu!B27&lt;=610)*AND(Etusivu!F27&gt;=151,Etusivu!F27&lt;=200),J47,IF(AND(Etusivu!A27&gt;=1601,Etusivu!A27&lt;=1800)*AND(Etusivu!B27&gt;=501,Etusivu!B27&lt;=610)*AND(Etusivu!F27&gt;=151,Etusivu!F27&lt;=200),J48,IF(AND(Etusivu!A27&gt;=1801,Etusivu!A27&lt;=2000)*AND(Etusivu!B27&gt;=501,Etusivu!B27&lt;=610)*AND(Etusivu!F27&gt;=151,Etusivu!F27&lt;=200),J49,IF(AND(Etusivu!A27&gt;=2001,Etusivu!A27&lt;=2200)*AND(Etusivu!B27&gt;=501,Etusivu!B27&lt;=610)*AND(Etusivu!F27&gt;=151,Etusivu!F27&lt;=200),J50,IF(AND(Etusivu!A27&gt;=2201,Etusivu!A27&lt;=2400)*AND(Etusivu!B27&gt;=501,Etusivu!B27&lt;=610)*AND(Etusivu!F27&gt;=151,Etusivu!F27&lt;=200),J51,IF(AND(Etusivu!A27&gt;=2401,Etusivu!A27&lt;=2600)*AND(Etusivu!B27&gt;=501,Etusivu!B27&lt;=610)*AND(Etusivu!F27&gt;=151,Etusivu!F27&lt;=200),J52,IF(AND(Etusivu!A27&gt;=2601,Etusivu!A27&lt;=2800)*AND(Etusivu!B27&gt;=501,Etusivu!B27&lt;=610)*AND(Etusivu!F27&gt;=151,Etusivu!F27&lt;=200),J53,IF(AND(Etusivu!A27&gt;=2801,Etusivu!A27&lt;=3000)*AND(Etusivu!B27&gt;=501,Etusivu!B27&lt;=610)*AND(Etusivu!F27&gt;=151,Etusivu!F27&lt;=200),J54,"Ei määrärajoissa"))))))))))))))))))))))))))))))))))))))))))))))))</f>
        <v>153</v>
      </c>
      <c r="AB38">
        <f>IF(AND(Etusivu!A27&gt;=600,Etusivu!A27&lt;=800)*AND(Etusivu!B27&gt;=400,Etusivu!B27&lt;=500)*AND(Etusivu!F27&gt;=30,Etusivu!F27&lt;=150),H30,IF(AND(Etusivu!A27&gt;=801,Etusivu!A27&lt;=1000)*AND(Etusivu!B27&gt;=400,Etusivu!B27&lt;=500)*AND(Etusivu!F27&gt;=30,Etusivu!F27&lt;=150),H31,IF(AND(Etusivu!A27&gt;=1001,Etusivu!A27&lt;=1200)*AND(Etusivu!B27&gt;=400,Etusivu!B27&lt;=500)*AND(Etusivu!F27&gt;=30,Etusivu!F27&lt;=150),H32,IF(AND(Etusivu!A27&gt;=1201,Etusivu!A27&lt;=1400)*AND(Etusivu!B27&gt;=400,Etusivu!B27&lt;=500)*AND(Etusivu!F27&gt;=30,Etusivu!F27&lt;=150),H33,IF(AND(Etusivu!A27&gt;=1401,Etusivu!A27&lt;=1600)*AND(Etusivu!B27&gt;=400,Etusivu!B27&lt;=500)*AND(Etusivu!F27&gt;=30,Etusivu!F27&lt;=150),H34,IF(AND(Etusivu!A27&gt;=1601,Etusivu!A27&lt;=1800)*AND(Etusivu!B27&gt;=400,Etusivu!B27&lt;=500)*AND(Etusivu!F27&gt;=30,Etusivu!F27&lt;=150),H35,IF(AND(Etusivu!A27&gt;=1801,Etusivu!A27&lt;=2000)*AND(Etusivu!B27&gt;=400,Etusivu!B27&lt;=500)*AND(Etusivu!F27&gt;=30,Etusivu!F27&lt;=150),H36,IF(AND(Etusivu!A27&gt;=2001,Etusivu!A27&lt;=2200)*AND(Etusivu!B27&gt;=400,Etusivu!B27&lt;=500)*AND(Etusivu!F27&gt;=30,Etusivu!F27&lt;=150),H37,IF(AND(Etusivu!A27&gt;=2201,Etusivu!A27&lt;=2400)*AND(Etusivu!B27&gt;=400,Etusivu!B27&lt;=500)*AND(Etusivu!F27&gt;=30,Etusivu!F27&lt;=150),H38,IF(AND(Etusivu!A27&gt;=2401,Etusivu!A27&lt;=2600)*AND(Etusivu!B27&gt;=400,Etusivu!B27&lt;=500)*AND(Etusivu!F27&gt;=30,Etusivu!F27&lt;=150),H39,IF(AND(Etusivu!A27&gt;=2601,Etusivu!A27&lt;=2800)*AND(Etusivu!B27&gt;=400,Etusivu!B27&lt;=500)*AND(Etusivu!F27&gt;=30,Etusivu!F27&lt;=150),H40,IF(AND(Etusivu!A27&gt;=2801,Etusivu!A27&lt;=3000)*AND(Etusivu!B27&gt;=400,Etusivu!B27&lt;=500)*AND(Etusivu!F27&gt;=30,Etusivu!F27&lt;=150),H41,IF(AND(Etusivu!A27&gt;=600,Etusivu!A27&lt;=800)*AND(Etusivu!B27&gt;=501,Etusivu!B27&lt;=610)*AND(Etusivu!F27&gt;=30,Etusivu!F27&lt;=150),H43,IF(AND(Etusivu!A27&gt;=801,Etusivu!A27&lt;=1000)*AND(Etusivu!B27&gt;=501,Etusivu!B27&lt;=610)*AND(Etusivu!F27&gt;=30,Etusivu!F27&lt;=150),H44,IF(AND(Etusivu!A27&gt;=1001,Etusivu!A27&lt;=1200)*AND(Etusivu!B27&gt;=501,Etusivu!B27&lt;=610)*AND(Etusivu!F27&gt;=30,Etusivu!F27&lt;=150),H45,IF(AND(Etusivu!A27&gt;=1201,Etusivu!A27&lt;=1400)*AND(Etusivu!B27&gt;=501,Etusivu!B27&lt;=610)*AND(Etusivu!F27&gt;=30,Etusivu!F27&lt;=150),H46,IF(AND(Etusivu!A27&gt;=1401,Etusivu!A27&lt;=1600)*AND(Etusivu!B27&gt;=501,Etusivu!B27&lt;=610)*AND(Etusivu!F27&gt;=30,Etusivu!F27&lt;=150),H47,IF(AND(Etusivu!A27&gt;=1601,Etusivu!A27&lt;=1800)*AND(Etusivu!B27&gt;=501,Etusivu!B27&lt;=610)*AND(Etusivu!F27&gt;=30,Etusivu!F27&lt;=150),H48,IF(AND(Etusivu!A27&gt;=1801,Etusivu!A27&lt;=2000)*AND(Etusivu!B27&gt;=501,Etusivu!B27&lt;=610)*AND(Etusivu!F27&gt;=30,Etusivu!F27&lt;=150),H49,IF(AND(Etusivu!A27&gt;=2001,Etusivu!A27&lt;=2200)*AND(Etusivu!B27&gt;=501,Etusivu!B27&lt;=610)*AND(Etusivu!F27&gt;=30,Etusivu!F27&lt;=150),H50,IF(AND(Etusivu!A27&gt;=2201,Etusivu!A27&lt;=2400)*AND(Etusivu!B27&gt;=501,Etusivu!B27&lt;=610)*AND(Etusivu!F27&gt;=30,Etusivu!F27&lt;=150),H51,IF(AND(Etusivu!A27&gt;=2401,Etusivu!A27&lt;=2600)*AND(Etusivu!B27&gt;=501,Etusivu!B27&lt;=610)*AND(Etusivu!F27&gt;=30,Etusivu!F27&lt;=150),H52,IF(AND(Etusivu!A27&gt;=2601,Etusivu!A27&lt;=2800)*AND(Etusivu!B27&gt;=501,Etusivu!B27&lt;=610)*AND(Etusivu!F27&gt;=30,Etusivu!F27&lt;=150),H53,IF(AND(Etusivu!A27&gt;=2801,Etusivu!A27&lt;=3000)*AND(Etusivu!B27&gt;=501,Etusivu!B27&lt;=610)*AND(Etusivu!F27&gt;=30,Etusivu!F27&lt;=150),H54,IF(AND(Etusivu!A27&gt;=600,Etusivu!A27&lt;=800)*AND(Etusivu!B27&gt;=400,Etusivu!B27&lt;=500)*AND(Etusivu!F27&gt;=151,Etusivu!F27&lt;=200),K30,IF(AND(Etusivu!A27&gt;=801,Etusivu!A27&lt;=1000)*AND(Etusivu!B27&gt;=400,Etusivu!B27&lt;=500)*AND(Etusivu!F27&gt;=151,Etusivu!F27&lt;=200),K31,IF(AND(Etusivu!A27&gt;=1001,Etusivu!A27&lt;=1200)*AND(Etusivu!B27&gt;=400,Etusivu!B27&lt;=500)*AND(Etusivu!F27&gt;=151,Etusivu!F27&lt;=200),K32,IF(AND(Etusivu!A27&gt;=1201,Etusivu!A27&lt;=1400)*AND(Etusivu!B27&gt;=400,Etusivu!B27&lt;=500)*AND(Etusivu!F27&gt;=151,Etusivu!F27&lt;=200),K33,IF(AND(Etusivu!A27&gt;=1401,Etusivu!A27&lt;=1600)*AND(Etusivu!B27&gt;=400,Etusivu!B27&lt;=500)*AND(Etusivu!F27&gt;=151,Etusivu!F27&lt;=200),K34,IF(AND(Etusivu!A27&gt;=1601,Etusivu!A27&lt;=1800)*AND(Etusivu!B27&gt;=400,Etusivu!B27&lt;=500)*AND(Etusivu!F27&gt;=151,Etusivu!F27&lt;=200),K35,IF(AND(Etusivu!A27&gt;=1801,Etusivu!A27&lt;=2000)*AND(Etusivu!B27&gt;=400,Etusivu!B27&lt;=500)*AND(Etusivu!F27&gt;=151,Etusivu!F27&lt;=200),K36,IF(AND(Etusivu!A27&gt;=2001,Etusivu!A27&lt;=2200)*AND(Etusivu!B27&gt;=400,Etusivu!B27&lt;=500)*AND(Etusivu!F27&gt;=151,Etusivu!F27&lt;=200),K37,IF(AND(Etusivu!A27&gt;=2201,Etusivu!A27&lt;=2400)*AND(Etusivu!B27&gt;=400,Etusivu!B27&lt;=500)*AND(Etusivu!F27&gt;=151,Etusivu!F27&lt;=200),K38,IF(AND(Etusivu!A27&gt;=2401,Etusivu!A27&lt;=2600)*AND(Etusivu!B27&gt;=400,Etusivu!B27&lt;=500)*AND(Etusivu!F27&gt;=151,Etusivu!F27&lt;=200),K39,IF(AND(Etusivu!A27&gt;=2601,Etusivu!A27&lt;=2800)*AND(Etusivu!B27&gt;=400,Etusivu!B27&lt;=500)*AND(Etusivu!F27&gt;=151,Etusivu!F27&lt;=200),K40,IF(AND(Etusivu!A27&gt;=2801,Etusivu!A27&lt;=3000)*AND(Etusivu!B27&gt;=400,Etusivu!B27&lt;=500)*AND(Etusivu!F27&gt;=151,Etusivu!F27&lt;=200),K41,IF(AND(Etusivu!A27&gt;=600,Etusivu!A27&lt;=800)*AND(Etusivu!B27&gt;=501,Etusivu!B27&lt;=610)*AND(Etusivu!F27&gt;=151,Etusivu!F27&lt;=200),K43,IF(AND(Etusivu!A27&gt;=801,Etusivu!A27&lt;=1000)*AND(Etusivu!B27&gt;=501,Etusivu!B27&lt;=610)*AND(Etusivu!F27&gt;=151,Etusivu!F27&lt;=200),K44,IF(AND(Etusivu!A27&gt;=1001,Etusivu!A27&lt;=1200)*AND(Etusivu!B27&gt;=501,Etusivu!B27&lt;=610)*AND(Etusivu!F27&gt;=151,Etusivu!F27&lt;=200),K45,IF(AND(Etusivu!A27&gt;=1201,Etusivu!A27&lt;=1400)*AND(Etusivu!B27&gt;=501,Etusivu!B27&lt;=610)*AND(Etusivu!F27&gt;=151,Etusivu!F27&lt;=200),K46,IF(AND(Etusivu!A27&gt;=1401,Etusivu!A27&lt;=1600)*AND(Etusivu!B27&gt;=501,Etusivu!B27&lt;=610)*AND(Etusivu!F27&gt;=151,Etusivu!F27&lt;=200),K47,IF(AND(Etusivu!A27&gt;=1601,Etusivu!A27&lt;=1800)*AND(Etusivu!B27&gt;=501,Etusivu!B27&lt;=610)*AND(Etusivu!F27&gt;=151,Etusivu!F27&lt;=200),K48,IF(AND(Etusivu!A27&gt;=1801,Etusivu!A27&lt;=2000)*AND(Etusivu!B27&gt;=501,Etusivu!B27&lt;=610)*AND(Etusivu!F27&gt;=151,Etusivu!F27&lt;=200),K49,IF(AND(Etusivu!A27&gt;=2001,Etusivu!A27&lt;=2200)*AND(Etusivu!B27&gt;=501,Etusivu!B27&lt;=610)*AND(Etusivu!F27&gt;=151,Etusivu!F27&lt;=200),K50,IF(AND(Etusivu!A27&gt;=2201,Etusivu!A27&lt;=2400)*AND(Etusivu!B27&gt;=501,Etusivu!B27&lt;=610)*AND(Etusivu!F27&gt;=151,Etusivu!F27&lt;=200),K51,IF(AND(Etusivu!A27&gt;=2401,Etusivu!A27&lt;=2600)*AND(Etusivu!B27&gt;=501,Etusivu!B27&lt;=610)*AND(Etusivu!F27&gt;=151,Etusivu!F27&lt;=200),K52,IF(AND(Etusivu!A27&gt;=2601,Etusivu!A27&lt;=2800)*AND(Etusivu!B27&gt;=501,Etusivu!B27&lt;=610)*AND(Etusivu!F27&gt;=151,Etusivu!F27&lt;=200),K53,IF(AND(Etusivu!A27&gt;=2801,Etusivu!A27&lt;=3000)*AND(Etusivu!B27&gt;=501,Etusivu!B27&lt;=610)*AND(Etusivu!F27&gt;=151,Etusivu!F27&lt;=200),K54,"Ei määrärajoissa"))))))))))))))))))))))))))))))))))))))))))))))))</f>
        <v>177</v>
      </c>
    </row>
    <row r="39" spans="1:30" ht="28.5" hidden="1" customHeight="1" thickBot="1">
      <c r="A39" s="5" t="s">
        <v>73</v>
      </c>
      <c r="B39" s="5" t="s">
        <v>216</v>
      </c>
      <c r="C39" s="5" t="s">
        <v>224</v>
      </c>
      <c r="D39" s="6">
        <v>346</v>
      </c>
      <c r="E39" s="6" t="s">
        <v>20</v>
      </c>
      <c r="F39" s="6">
        <v>128</v>
      </c>
      <c r="G39" s="6">
        <v>153</v>
      </c>
      <c r="H39" s="6">
        <v>177</v>
      </c>
      <c r="I39" s="6">
        <v>171</v>
      </c>
      <c r="J39" s="6">
        <v>204</v>
      </c>
      <c r="K39" s="6">
        <v>237</v>
      </c>
      <c r="L39" s="7"/>
      <c r="O39" s="13" t="s">
        <v>14</v>
      </c>
      <c r="P39" s="13" t="s">
        <v>15</v>
      </c>
      <c r="Q39" s="13" t="s">
        <v>16</v>
      </c>
      <c r="T39" s="13"/>
      <c r="U39" s="13"/>
      <c r="X39" s="13"/>
      <c r="Z39" s="13" t="s">
        <v>14</v>
      </c>
      <c r="AA39" s="13" t="s">
        <v>15</v>
      </c>
      <c r="AB39" s="13" t="s">
        <v>16</v>
      </c>
    </row>
    <row r="40" spans="1:30" ht="28.5" hidden="1" customHeight="1" thickBot="1">
      <c r="A40" s="5" t="s">
        <v>206</v>
      </c>
      <c r="B40" s="5" t="s">
        <v>217</v>
      </c>
      <c r="C40" s="5" t="s">
        <v>221</v>
      </c>
      <c r="D40" s="6">
        <v>371</v>
      </c>
      <c r="E40" s="6" t="s">
        <v>20</v>
      </c>
      <c r="F40" s="6">
        <v>138</v>
      </c>
      <c r="G40" s="6">
        <v>162</v>
      </c>
      <c r="H40" s="6">
        <v>188</v>
      </c>
      <c r="I40" s="6">
        <v>185</v>
      </c>
      <c r="J40" s="6">
        <v>217</v>
      </c>
      <c r="K40" s="6">
        <v>250</v>
      </c>
      <c r="L40" s="7"/>
      <c r="P40" s="157" t="s">
        <v>128</v>
      </c>
      <c r="Q40" s="158"/>
      <c r="R40" s="159"/>
      <c r="T40" s="26" t="s">
        <v>285</v>
      </c>
      <c r="U40" s="13"/>
      <c r="V40" s="13"/>
      <c r="W40" s="13"/>
      <c r="X40" s="13"/>
    </row>
    <row r="41" spans="1:30" ht="28.5" hidden="1" customHeight="1">
      <c r="A41" s="5" t="s">
        <v>74</v>
      </c>
      <c r="B41" s="5" t="s">
        <v>218</v>
      </c>
      <c r="C41" s="5" t="s">
        <v>225</v>
      </c>
      <c r="D41" s="6">
        <v>398</v>
      </c>
      <c r="E41" s="6" t="s">
        <v>20</v>
      </c>
      <c r="F41" s="6">
        <v>149</v>
      </c>
      <c r="G41" s="6">
        <v>173</v>
      </c>
      <c r="H41" s="6">
        <v>197</v>
      </c>
      <c r="I41" s="6">
        <v>197</v>
      </c>
      <c r="J41" s="6">
        <v>230</v>
      </c>
      <c r="K41" s="6">
        <v>263</v>
      </c>
      <c r="L41" s="7"/>
      <c r="P41" s="30">
        <f>SUM(M37:AD37)</f>
        <v>771</v>
      </c>
      <c r="Q41" s="31">
        <f>100*P41/(100-25)</f>
        <v>1028</v>
      </c>
      <c r="R41" s="32">
        <f>SUM(M35:AD35)</f>
        <v>2136.40245</v>
      </c>
      <c r="T41" s="13" t="s">
        <v>280</v>
      </c>
      <c r="U41" s="13" t="s">
        <v>281</v>
      </c>
      <c r="V41" s="13" t="s">
        <v>282</v>
      </c>
      <c r="W41" s="13" t="s">
        <v>283</v>
      </c>
      <c r="X41" s="13" t="s">
        <v>287</v>
      </c>
      <c r="Y41" s="26" t="s">
        <v>330</v>
      </c>
      <c r="Z41" s="18" t="s">
        <v>289</v>
      </c>
      <c r="AA41" s="26" t="s">
        <v>331</v>
      </c>
    </row>
    <row r="42" spans="1:30" ht="28.5" hidden="1" customHeight="1" thickBot="1">
      <c r="A42" s="5" t="s">
        <v>75</v>
      </c>
      <c r="B42" s="5"/>
      <c r="C42" s="5"/>
      <c r="D42" s="6"/>
      <c r="E42" s="6"/>
      <c r="F42" s="6"/>
      <c r="G42" s="6"/>
      <c r="H42" s="6"/>
      <c r="I42" s="6"/>
      <c r="J42" s="6"/>
      <c r="K42" s="6"/>
      <c r="L42" s="7"/>
      <c r="P42" s="27" t="s">
        <v>165</v>
      </c>
      <c r="Q42" s="28" t="s">
        <v>166</v>
      </c>
      <c r="R42" s="29" t="s">
        <v>400</v>
      </c>
      <c r="T42" s="13">
        <f>(Etusivu!A27/1000)*(Etusivu!B27/1000)</f>
        <v>1.25</v>
      </c>
      <c r="U42" s="13">
        <f>IF(Etusivu!C27=Laskenta!N73,(Etusivu!A27/1000)*(Etusivu!D27/1000),IF(OR(Etusivu!C27=Laskenta!N74,Etusivu!C27=Laskenta!N75),(Etusivu!A27/1000)*(Etusivu!D27/1000)+(Etusivu!B27/1000)*(Etusivu!D27/1000),IF(Etusivu!C27=Laskenta!N76,((Etusivu!A27/1000)*(Etusivu!D27/1000)+((Etusivu!B27/1000)*(Etusivu!D27/1000)*2)),"")))</f>
        <v>0.45</v>
      </c>
      <c r="V42" s="13">
        <f>IF(Etusivu!E27=Laskenta!N106,(Etusivu!B8/1000)*(Etusivu!F27/1000),IF(OR(Etusivu!E27=Laskenta!N107,Etusivu!E27=Laskenta!N108),(Etusivu!B8/1000)*(Etusivu!F27/1000)+(Etusivu!B27/1000)*(Etusivu!F27/1000),IF(Etusivu!E27=Laskenta!N109,((Etusivu!B8/1000)*(Etusivu!F27/1000)+((Etusivu!B27/1000)*(Etusivu!F27/1000)*2)),"")))</f>
        <v>0.06</v>
      </c>
      <c r="W42" s="13">
        <v>27</v>
      </c>
      <c r="X42" s="13">
        <v>3</v>
      </c>
      <c r="Y42" s="13">
        <f>ROUNDUP((SUM(T42:V42)*W42+X42),0)</f>
        <v>51</v>
      </c>
      <c r="Z42">
        <f>IF(Etusivu!A27&lt;=1200,Laskenta!B103,IF(AND(Etusivu!A27&gt;=1201,Etusivu!A27&lt;=2000),Laskenta!B104,IF(AND(Etusivu!A27&gt;=2001,Etusivu!A27&lt;=3000),Laskenta!B105,"?")))</f>
        <v>45</v>
      </c>
      <c r="AA42">
        <f>Y42+Z42</f>
        <v>96</v>
      </c>
    </row>
    <row r="43" spans="1:30" ht="28.5" hidden="1" customHeight="1">
      <c r="A43" s="5" t="s">
        <v>227</v>
      </c>
      <c r="B43" s="5" t="s">
        <v>233</v>
      </c>
      <c r="C43" s="5" t="s">
        <v>19</v>
      </c>
      <c r="D43" s="6">
        <v>127</v>
      </c>
      <c r="E43" s="6" t="s">
        <v>20</v>
      </c>
      <c r="F43" s="6">
        <v>39</v>
      </c>
      <c r="G43" s="6">
        <v>69</v>
      </c>
      <c r="H43" s="6">
        <v>99</v>
      </c>
      <c r="I43" s="6">
        <v>53</v>
      </c>
      <c r="J43" s="6">
        <v>92</v>
      </c>
      <c r="K43" s="6">
        <v>132</v>
      </c>
      <c r="L43" s="7"/>
      <c r="P43" s="57"/>
      <c r="Q43" s="57"/>
      <c r="R43" s="57"/>
    </row>
    <row r="44" spans="1:30" ht="28.5" hidden="1" customHeight="1">
      <c r="A44" s="5" t="s">
        <v>76</v>
      </c>
      <c r="B44" s="5" t="s">
        <v>234</v>
      </c>
      <c r="C44" s="5" t="s">
        <v>23</v>
      </c>
      <c r="D44" s="6">
        <v>159</v>
      </c>
      <c r="E44" s="6" t="s">
        <v>20</v>
      </c>
      <c r="F44" s="6">
        <v>50</v>
      </c>
      <c r="G44" s="6">
        <v>79</v>
      </c>
      <c r="H44" s="6">
        <v>108</v>
      </c>
      <c r="I44" s="6">
        <v>66</v>
      </c>
      <c r="J44" s="6">
        <v>105</v>
      </c>
      <c r="K44" s="6">
        <v>144</v>
      </c>
      <c r="L44" s="7"/>
      <c r="R44" s="33"/>
    </row>
    <row r="45" spans="1:30" ht="28.5" hidden="1" customHeight="1">
      <c r="A45" s="5" t="s">
        <v>228</v>
      </c>
      <c r="B45" s="5" t="s">
        <v>235</v>
      </c>
      <c r="C45" s="5" t="s">
        <v>26</v>
      </c>
      <c r="D45" s="6">
        <v>191</v>
      </c>
      <c r="E45" s="6" t="s">
        <v>20</v>
      </c>
      <c r="F45" s="6">
        <v>59</v>
      </c>
      <c r="G45" s="6">
        <v>89</v>
      </c>
      <c r="H45" s="6">
        <v>119</v>
      </c>
      <c r="I45" s="6">
        <v>79</v>
      </c>
      <c r="J45" s="6">
        <v>119</v>
      </c>
      <c r="K45" s="6">
        <v>158</v>
      </c>
      <c r="L45" s="7"/>
    </row>
    <row r="46" spans="1:30" ht="28.5" hidden="1" customHeight="1">
      <c r="A46" s="5" t="s">
        <v>77</v>
      </c>
      <c r="B46" s="5" t="s">
        <v>236</v>
      </c>
      <c r="C46" s="5" t="s">
        <v>29</v>
      </c>
      <c r="D46" s="6">
        <v>224</v>
      </c>
      <c r="E46" s="6" t="s">
        <v>20</v>
      </c>
      <c r="F46" s="6">
        <v>69</v>
      </c>
      <c r="G46" s="6">
        <v>99</v>
      </c>
      <c r="H46" s="6">
        <v>128</v>
      </c>
      <c r="I46" s="6">
        <v>92</v>
      </c>
      <c r="J46" s="6">
        <v>132</v>
      </c>
      <c r="K46" s="6">
        <v>171</v>
      </c>
      <c r="L46" s="10"/>
      <c r="M46" s="3"/>
      <c r="N46" s="3"/>
      <c r="O46" s="3"/>
      <c r="P46" s="3"/>
      <c r="Q46" s="3"/>
    </row>
    <row r="47" spans="1:30" ht="28.5" hidden="1" customHeight="1">
      <c r="A47" s="5" t="s">
        <v>229</v>
      </c>
      <c r="B47" s="5" t="s">
        <v>237</v>
      </c>
      <c r="C47" s="5" t="s">
        <v>32</v>
      </c>
      <c r="D47" s="6">
        <v>254</v>
      </c>
      <c r="E47" s="6" t="s">
        <v>20</v>
      </c>
      <c r="F47" s="6">
        <v>79</v>
      </c>
      <c r="G47" s="6">
        <v>108</v>
      </c>
      <c r="H47" s="6">
        <v>138</v>
      </c>
      <c r="I47" s="6">
        <v>105</v>
      </c>
      <c r="J47" s="6">
        <v>144</v>
      </c>
      <c r="K47" s="6">
        <v>185</v>
      </c>
      <c r="L47" s="10"/>
      <c r="M47" s="58"/>
      <c r="N47" s="58"/>
      <c r="O47" s="58"/>
      <c r="P47" s="58"/>
      <c r="Q47" s="58"/>
    </row>
    <row r="48" spans="1:30" ht="28.5" hidden="1" customHeight="1">
      <c r="A48" s="5" t="s">
        <v>78</v>
      </c>
      <c r="B48" s="5" t="s">
        <v>238</v>
      </c>
      <c r="C48" s="5" t="s">
        <v>222</v>
      </c>
      <c r="D48" s="6">
        <v>286</v>
      </c>
      <c r="E48" s="6" t="s">
        <v>20</v>
      </c>
      <c r="F48" s="6">
        <v>89</v>
      </c>
      <c r="G48" s="6">
        <v>119</v>
      </c>
      <c r="H48" s="6">
        <v>149</v>
      </c>
      <c r="I48" s="6">
        <v>119</v>
      </c>
      <c r="J48" s="6">
        <v>158</v>
      </c>
      <c r="K48" s="6">
        <v>197</v>
      </c>
      <c r="L48" s="7"/>
    </row>
    <row r="49" spans="1:24" ht="28.5" hidden="1" customHeight="1">
      <c r="A49" s="5" t="s">
        <v>230</v>
      </c>
      <c r="B49" s="5" t="s">
        <v>239</v>
      </c>
      <c r="C49" s="5" t="s">
        <v>219</v>
      </c>
      <c r="D49" s="6">
        <v>318</v>
      </c>
      <c r="E49" s="6" t="s">
        <v>20</v>
      </c>
      <c r="F49" s="6">
        <v>99</v>
      </c>
      <c r="G49" s="6">
        <v>128</v>
      </c>
      <c r="H49" s="6">
        <v>158</v>
      </c>
      <c r="I49" s="6">
        <v>132</v>
      </c>
      <c r="J49" s="6">
        <v>171</v>
      </c>
      <c r="K49" s="6">
        <v>210</v>
      </c>
      <c r="L49" s="7"/>
    </row>
    <row r="50" spans="1:24" ht="28.5" hidden="1" customHeight="1">
      <c r="A50" s="5" t="s">
        <v>79</v>
      </c>
      <c r="B50" s="5" t="s">
        <v>240</v>
      </c>
      <c r="C50" s="5" t="s">
        <v>223</v>
      </c>
      <c r="D50" s="6">
        <v>350</v>
      </c>
      <c r="E50" s="6" t="s">
        <v>20</v>
      </c>
      <c r="F50" s="6">
        <v>108</v>
      </c>
      <c r="G50" s="6">
        <v>138</v>
      </c>
      <c r="H50" s="6">
        <v>168</v>
      </c>
      <c r="I50" s="6">
        <v>144</v>
      </c>
      <c r="J50" s="6">
        <v>185</v>
      </c>
      <c r="K50" s="6">
        <v>224</v>
      </c>
      <c r="L50" s="7"/>
    </row>
    <row r="51" spans="1:24" ht="28.5" hidden="1" customHeight="1">
      <c r="A51" s="5" t="s">
        <v>231</v>
      </c>
      <c r="B51" s="5" t="s">
        <v>241</v>
      </c>
      <c r="C51" s="5" t="s">
        <v>220</v>
      </c>
      <c r="D51" s="6">
        <v>382</v>
      </c>
      <c r="E51" s="6" t="s">
        <v>20</v>
      </c>
      <c r="F51" s="6">
        <v>119</v>
      </c>
      <c r="G51" s="6">
        <v>149</v>
      </c>
      <c r="H51" s="6">
        <v>177</v>
      </c>
      <c r="I51" s="6">
        <v>158</v>
      </c>
      <c r="J51" s="6">
        <v>197</v>
      </c>
      <c r="K51" s="6">
        <v>237</v>
      </c>
      <c r="L51" s="7"/>
    </row>
    <row r="52" spans="1:24" ht="28.5" hidden="1" customHeight="1">
      <c r="A52" s="5" t="s">
        <v>80</v>
      </c>
      <c r="B52" s="5" t="s">
        <v>242</v>
      </c>
      <c r="C52" s="5" t="s">
        <v>224</v>
      </c>
      <c r="D52" s="6">
        <v>414</v>
      </c>
      <c r="E52" s="6" t="s">
        <v>20</v>
      </c>
      <c r="F52" s="6">
        <v>128</v>
      </c>
      <c r="G52" s="6">
        <v>158</v>
      </c>
      <c r="H52" s="6">
        <v>188</v>
      </c>
      <c r="I52" s="6">
        <v>171</v>
      </c>
      <c r="J52" s="6">
        <v>210</v>
      </c>
      <c r="K52" s="6">
        <v>250</v>
      </c>
      <c r="L52" s="7"/>
    </row>
    <row r="53" spans="1:24" ht="28.5" hidden="1" customHeight="1">
      <c r="A53" s="5" t="s">
        <v>232</v>
      </c>
      <c r="B53" s="5" t="s">
        <v>243</v>
      </c>
      <c r="C53" s="5" t="s">
        <v>221</v>
      </c>
      <c r="D53" s="6">
        <v>446</v>
      </c>
      <c r="E53" s="6" t="s">
        <v>20</v>
      </c>
      <c r="F53" s="6">
        <v>138</v>
      </c>
      <c r="G53" s="6">
        <v>168</v>
      </c>
      <c r="H53" s="6">
        <v>197</v>
      </c>
      <c r="I53" s="6">
        <v>185</v>
      </c>
      <c r="J53" s="6">
        <v>224</v>
      </c>
      <c r="K53" s="6">
        <v>263</v>
      </c>
      <c r="L53" s="7"/>
    </row>
    <row r="54" spans="1:24" ht="28.5" hidden="1" customHeight="1">
      <c r="A54" s="5" t="s">
        <v>81</v>
      </c>
      <c r="B54" s="5" t="s">
        <v>244</v>
      </c>
      <c r="C54" s="5" t="s">
        <v>225</v>
      </c>
      <c r="D54" s="6">
        <v>476</v>
      </c>
      <c r="E54" s="6" t="s">
        <v>20</v>
      </c>
      <c r="F54" s="6">
        <v>149</v>
      </c>
      <c r="G54" s="6">
        <v>177</v>
      </c>
      <c r="H54" s="6">
        <v>207</v>
      </c>
      <c r="I54" s="6">
        <v>197</v>
      </c>
      <c r="J54" s="6">
        <v>237</v>
      </c>
      <c r="K54" s="6">
        <v>276</v>
      </c>
      <c r="L54" s="7"/>
    </row>
    <row r="55" spans="1:24" ht="28.5" hidden="1" customHeight="1">
      <c r="A55" s="5"/>
      <c r="B55" s="5"/>
      <c r="C55" s="5"/>
      <c r="D55" s="6"/>
      <c r="E55" s="6"/>
      <c r="F55" s="6"/>
      <c r="G55" s="6"/>
      <c r="H55" s="6"/>
      <c r="I55" s="6"/>
      <c r="J55" s="6"/>
      <c r="K55" s="6"/>
      <c r="L55" s="7"/>
      <c r="R55" s="18" t="s">
        <v>257</v>
      </c>
      <c r="S55" s="18"/>
    </row>
    <row r="56" spans="1:24" ht="28.5" hidden="1" customHeight="1">
      <c r="A56" s="3" t="s">
        <v>82</v>
      </c>
      <c r="B56" s="3"/>
      <c r="C56" s="3"/>
      <c r="D56" s="9"/>
      <c r="E56" s="9"/>
      <c r="F56" s="9"/>
      <c r="G56" s="9"/>
      <c r="H56" s="9"/>
      <c r="I56" s="9"/>
      <c r="J56" s="9"/>
      <c r="K56" s="9"/>
      <c r="L56" s="7"/>
      <c r="N56" s="18" t="s">
        <v>160</v>
      </c>
    </row>
    <row r="57" spans="1:24" ht="28.5" hidden="1" customHeight="1">
      <c r="A57" s="5" t="s">
        <v>83</v>
      </c>
      <c r="B57" s="5" t="s">
        <v>84</v>
      </c>
      <c r="C57" s="5" t="s">
        <v>316</v>
      </c>
      <c r="D57" s="6">
        <v>98</v>
      </c>
      <c r="E57" s="6"/>
      <c r="F57" s="6"/>
      <c r="G57" s="6"/>
      <c r="H57" s="6"/>
      <c r="I57" s="6"/>
      <c r="J57" s="6"/>
      <c r="K57" s="6"/>
      <c r="L57" s="7"/>
      <c r="N57" t="s">
        <v>143</v>
      </c>
      <c r="O57">
        <v>1</v>
      </c>
      <c r="R57" s="18" t="s">
        <v>258</v>
      </c>
      <c r="S57" s="18"/>
      <c r="U57" s="61" t="s">
        <v>143</v>
      </c>
      <c r="V57" s="62" t="s">
        <v>149</v>
      </c>
      <c r="W57" s="63" t="s">
        <v>146</v>
      </c>
    </row>
    <row r="58" spans="1:24" ht="28.5" hidden="1" customHeight="1">
      <c r="A58" s="5" t="s">
        <v>85</v>
      </c>
      <c r="B58" s="5" t="s">
        <v>86</v>
      </c>
      <c r="C58" s="5" t="s">
        <v>317</v>
      </c>
      <c r="D58" s="6">
        <v>98</v>
      </c>
      <c r="E58" s="6"/>
      <c r="F58" s="6"/>
      <c r="G58" s="6"/>
      <c r="H58" s="6"/>
      <c r="I58" s="6"/>
      <c r="J58" s="6"/>
      <c r="K58" s="6"/>
      <c r="L58" s="7"/>
      <c r="N58" t="s">
        <v>144</v>
      </c>
      <c r="O58">
        <v>1</v>
      </c>
      <c r="R58">
        <v>1</v>
      </c>
      <c r="S58" t="str">
        <f>IF(Etusivu!A8=N57,U58,IF(OR(Etusivu!A8=N58,Etusivu!A8=N59),V58,IF(Etusivu!A8=N60,W58,"Ei määrärajoissa")))</f>
        <v>HRR200/50</v>
      </c>
      <c r="T58" t="str">
        <f>_xlfn.TEXTJOIN(" ",TRUE,"width:",Etusivu!B8,"mm","depth:",Etusivu!C8,"mm")</f>
        <v>width: 2000 mm depth: 500 mm</v>
      </c>
      <c r="U58" s="64" t="str">
        <f>IF(AND(Etusivu!B8&gt;=600,Etusivu!B8&lt;=800),A4,IF(AND(Etusivu!B8&gt;=801,Etusivu!B8&lt;=1000),A5,IF(AND(Etusivu!B8&gt;=1001,Etusivu!B8&lt;=1200),A6,IF(AND(Etusivu!B8&gt;=1201,Etusivu!B8&lt;=1400),A7,IF(AND(Etusivu!B8&gt;=1401,Etusivu!B8&lt;=1600),A8,"Ei määrärajoissa")))))</f>
        <v>Ei määrärajoissa</v>
      </c>
      <c r="V58" t="str">
        <f>IF(Etusivu!A8=Laskenta!N58,Laskenta!V60,IF(Etusivu!A8=Laskenta!N59,Laskenta!V61,"Ei määrärajoissa"))</f>
        <v>HRR200/50</v>
      </c>
      <c r="W58" s="65" t="str">
        <f>IF(Etusivu!B8=1205,A24,IF(Etusivu!B8=1405,A25,IF(Etusivu!B8=1605,A26,"Ei määrärajoissa")))</f>
        <v>Ei määrärajoissa</v>
      </c>
    </row>
    <row r="59" spans="1:24" ht="28.5" hidden="1" customHeight="1">
      <c r="A59" s="5" t="s">
        <v>87</v>
      </c>
      <c r="B59" s="5" t="s">
        <v>88</v>
      </c>
      <c r="C59" s="5" t="s">
        <v>318</v>
      </c>
      <c r="D59" s="6">
        <v>115</v>
      </c>
      <c r="E59" s="6"/>
      <c r="F59" s="6"/>
      <c r="H59" s="6"/>
      <c r="I59" s="6"/>
      <c r="J59" s="6"/>
      <c r="K59" s="6"/>
      <c r="L59" s="7"/>
      <c r="N59" t="s">
        <v>145</v>
      </c>
      <c r="O59">
        <v>1</v>
      </c>
      <c r="R59">
        <f>IF(Etusivu!D8=Laskenta!N77,"",1)</f>
        <v>1</v>
      </c>
      <c r="S59" t="str">
        <f>IF(Etusivu!D8=Laskenta!N73,"FS",IF(Etusivu!D8=Laskenta!N74,"FLS",IF(Etusivu!D8=Laskenta!N75,"FRS",IF(Etusivu!D8=Laskenta!N76,"FLRS",""))))</f>
        <v/>
      </c>
      <c r="T59" t="str">
        <f>IF(Etusivu!D8=Laskenta!N73,"Skirting (Front) height: "&amp;Etusivu!E8,IF(Etusivu!D8=Laskenta!N74,"Skirting (Front and left side) height: "&amp;Etusivu!E8,IF(Etusivu!D8=Laskenta!N75,"Skirting (Front and right side) height: "&amp;Etusivu!E8,IF(Etusivu!D8=Laskenta!N76,"Skirting (Front and two sides) height: "&amp;Etusivu!E8,""))))</f>
        <v/>
      </c>
      <c r="U59" s="64"/>
      <c r="W59" s="66"/>
    </row>
    <row r="60" spans="1:24" ht="28.5" hidden="1" customHeight="1">
      <c r="A60" s="5" t="s">
        <v>312</v>
      </c>
      <c r="B60" s="5" t="s">
        <v>314</v>
      </c>
      <c r="C60" s="5" t="s">
        <v>319</v>
      </c>
      <c r="D60" s="6">
        <v>115</v>
      </c>
      <c r="E60" s="6"/>
      <c r="F60" s="6"/>
      <c r="G60" s="6"/>
      <c r="H60" s="6"/>
      <c r="I60" s="6"/>
      <c r="J60" s="6"/>
      <c r="K60" s="6"/>
      <c r="L60" s="7"/>
      <c r="N60" t="s">
        <v>146</v>
      </c>
      <c r="O60">
        <v>2</v>
      </c>
      <c r="R60">
        <f>IF(Etusivu!F8=Laskenta!N77,"",1)</f>
        <v>1</v>
      </c>
      <c r="S60" t="str">
        <f>IF(Etusivu!F8=Laskenta!N106,"BB",IF(Etusivu!F8=Laskenta!N107,"BLB",IF(Etusivu!F8=Laskenta!N108,"BRB",IF(Etusivu!F8=Laskenta!N109,"BLRB",""))))</f>
        <v/>
      </c>
      <c r="T60" t="str">
        <f>IF(Etusivu!F8=Laskenta!N106,"Splashboard (Back) height: "&amp;Etusivu!E8,IF(Etusivu!F8=Laskenta!N107,"Splashboard (Back and left side) height: "&amp;Etusivu!E8,IF(Etusivu!F8=Laskenta!N108,"Splashboard (Back and right side) height: "&amp;Etusivu!E8,IF(Etusivu!F8=Laskenta!N109,"Splashboard (Back and two sides) height: "&amp;Etusivu!E8,""))))</f>
        <v/>
      </c>
      <c r="U60" s="64"/>
      <c r="V60" s="16" t="str">
        <f>IF(AND(Etusivu!B8&gt;=900,Etusivu!B8&lt;=1000),A10,IF(AND(Etusivu!B8&gt;=1001,Etusivu!B8&lt;=1200),A11,IF(AND(Etusivu!B8&gt;=1201,Etusivu!B8&lt;=1400),A12,IF(AND(Etusivu!B8&gt;=1401,Etusivu!B8&lt;=1600),A13,IF(AND(Etusivu!B8&gt;=1601,Etusivu!B8&lt;=1800),A14,IF(AND(Etusivu!B8&gt;=1801,Etusivu!B8&lt;=2000),A15,"Leveys ei määrärajoissa"))))))</f>
        <v>HRL200/50</v>
      </c>
      <c r="W60" s="66" t="s">
        <v>259</v>
      </c>
    </row>
    <row r="61" spans="1:24" ht="28.5" hidden="1" customHeight="1">
      <c r="A61" s="5" t="s">
        <v>313</v>
      </c>
      <c r="B61" s="5" t="s">
        <v>315</v>
      </c>
      <c r="C61" s="5" t="s">
        <v>320</v>
      </c>
      <c r="D61" s="6">
        <v>265</v>
      </c>
      <c r="E61" s="6"/>
      <c r="F61" s="6"/>
      <c r="G61" s="6"/>
      <c r="H61" s="6"/>
      <c r="I61" s="6"/>
      <c r="J61" s="6"/>
      <c r="K61" s="6"/>
      <c r="L61" s="7"/>
      <c r="R61">
        <f>IF(Etusivu!H8=Laskenta!N94,"",IF(Etusivu!A8=Laskenta!N60,"2",IF(OR(Etusivu!A8=Laskenta!N57,Etusivu!A8=Laskenta!N58,Etusivu!A8=Laskenta!N59),1,"")))</f>
        <v>1</v>
      </c>
      <c r="S61" t="str">
        <f>IF(Etusivu!H8=Laskenta!N93,Laskenta!A80,"")</f>
        <v/>
      </c>
      <c r="T61" t="str">
        <f>IF(Etusivu!H8=Laskenta!N94,"",IF(Etusivu!A8=Laskenta!N60,"Mixer hole drilling for 2 basin(s)s",IF(OR(Etusivu!A8=Laskenta!N57,Etusivu!A8=Laskenta!N58,Etusivu!A8=Laskenta!N59),"Mixer hole drilling for 1 basin(s)","")))</f>
        <v>Mixer hole drilling for 1 basin(s)</v>
      </c>
      <c r="U61" s="67"/>
      <c r="V61" s="68" t="str">
        <f>IF(AND(Etusivu!B8&gt;=900,Etusivu!B8&lt;=1000),A17,IF(AND(Etusivu!B8&gt;=1001,Etusivu!B8&lt;=1200),A18,IF(AND(Etusivu!B8&gt;=1201,Etusivu!B8&lt;=1400),A19,IF(AND(Etusivu!B8&gt;=1401,Etusivu!B8&lt;=1600),A20,IF(AND(Etusivu!B8&gt;=1601,Etusivu!B8&lt;=1800),A21,IF(AND(Etusivu!B8&gt;=1801,Etusivu!B8&lt;=2000),A22,"Leveys ei määrärajoissa"))))))</f>
        <v>HRR200/50</v>
      </c>
      <c r="W61" s="69" t="s">
        <v>260</v>
      </c>
    </row>
    <row r="62" spans="1:24" ht="28.5" hidden="1" customHeight="1">
      <c r="A62" s="5" t="s">
        <v>89</v>
      </c>
      <c r="B62" s="5" t="s">
        <v>90</v>
      </c>
      <c r="C62" s="5" t="s">
        <v>321</v>
      </c>
      <c r="D62" s="6">
        <v>98</v>
      </c>
      <c r="E62" s="6"/>
      <c r="F62" s="6"/>
      <c r="G62" s="6"/>
      <c r="H62" s="6"/>
      <c r="I62" s="6"/>
      <c r="J62" s="6"/>
      <c r="K62" s="6"/>
      <c r="L62" s="7"/>
      <c r="N62" s="18" t="s">
        <v>140</v>
      </c>
      <c r="R62">
        <f>IF(Etusivu!I8=N85,"",IF(Etusivu!A8=Laskenta!N60,2,IF(OR(Etusivu!A8=Laskenta!N57,Etusivu!A8=Laskenta!N58,Etusivu!A8=Laskenta!N59),1,"")))</f>
        <v>1</v>
      </c>
      <c r="S62" t="str">
        <f>IF(Etusivu!I8=N81,A64,IF(Etusivu!I8=N82,A65,IF(Etusivu!I8=N83,A67,IF(Etusivu!I8=N85,"",""))))</f>
        <v/>
      </c>
      <c r="T62" t="e">
        <f>IF(Etusivu!I8=N85,"",IF(Etusivu!A8=Laskenta!N60,VLOOKUP(S62,A64:B67,2,0)&amp;" for 2 basins",IF(OR(Etusivu!A8=Laskenta!N57,Etusivu!A8=Laskenta!N58,Etusivu!A8=Laskenta!N59),VLOOKUP(S62,A64:B67,2,0)&amp;" for 1 basin","")))</f>
        <v>#N/A</v>
      </c>
      <c r="U62" s="16"/>
      <c r="V62" s="26"/>
      <c r="W62" s="26"/>
      <c r="X62" s="26"/>
    </row>
    <row r="63" spans="1:24" ht="28.5" hidden="1" customHeight="1">
      <c r="A63" s="5" t="s">
        <v>91</v>
      </c>
      <c r="B63" s="5" t="s">
        <v>92</v>
      </c>
      <c r="C63" s="5" t="s">
        <v>322</v>
      </c>
      <c r="D63" s="6">
        <v>98</v>
      </c>
      <c r="E63" s="6"/>
      <c r="F63" s="6"/>
      <c r="G63" s="6"/>
      <c r="H63" s="6"/>
      <c r="I63" s="6"/>
      <c r="J63" s="6"/>
      <c r="K63" s="6"/>
      <c r="L63" s="7"/>
      <c r="N63" s="13" t="s">
        <v>143</v>
      </c>
      <c r="O63" s="13" t="s">
        <v>149</v>
      </c>
      <c r="P63" s="13" t="s">
        <v>146</v>
      </c>
      <c r="R63">
        <f>IF(Etusivu!J8=N91,"",IF(Etusivu!A8=Laskenta!N60,2,IF(OR(Etusivu!A8=Laskenta!N57,Etusivu!A8=Laskenta!N58,Etusivu!A8=Laskenta!N59),1,"")))</f>
        <v>1</v>
      </c>
      <c r="S63" t="str">
        <f>IF(Etusivu!J8=N89,A70,IF(Etusivu!J8=N90,A71,""))</f>
        <v/>
      </c>
      <c r="T63" t="e">
        <f>IF(Etusivu!J8=N91,"",IF(Etusivu!A8=Laskenta!N60,VLOOKUP(S63,A70:B71,2,0)&amp;" for 2 basins",IF(OR(Etusivu!A8=Laskenta!N57,Etusivu!A8=Laskenta!N58,Etusivu!A8=Laskenta!N59),VLOOKUP(S63,A70:B71,2,0)&amp;" for 1 basin","")))</f>
        <v>#N/A</v>
      </c>
      <c r="U63" s="18"/>
      <c r="V63" s="13"/>
      <c r="W63" s="16"/>
      <c r="X63" s="16"/>
    </row>
    <row r="64" spans="1:24" ht="28.5" hidden="1" customHeight="1">
      <c r="A64" s="5" t="s">
        <v>93</v>
      </c>
      <c r="B64" s="5" t="s">
        <v>94</v>
      </c>
      <c r="C64" s="56" t="s">
        <v>336</v>
      </c>
      <c r="D64" s="6">
        <v>24</v>
      </c>
      <c r="E64" s="6"/>
      <c r="F64" s="6"/>
      <c r="G64" s="6"/>
      <c r="H64" s="6"/>
      <c r="I64" s="6"/>
      <c r="J64" s="6"/>
      <c r="K64" s="6"/>
      <c r="L64" s="5"/>
      <c r="M64">
        <v>80</v>
      </c>
      <c r="N64" s="13">
        <v>1</v>
      </c>
      <c r="O64" s="13"/>
      <c r="P64" s="13"/>
      <c r="R64">
        <f>Etusivu!K8</f>
        <v>3</v>
      </c>
      <c r="S64" t="s">
        <v>177</v>
      </c>
      <c r="T64" t="str">
        <f>"Estimated "&amp;Etusivu!K8&amp;" set(s) of support arms, please confirm the amount"</f>
        <v>Estimated 3 set(s) of support arms, please confirm the amount</v>
      </c>
      <c r="U64" s="18"/>
      <c r="V64" s="16"/>
      <c r="W64" s="13"/>
      <c r="X64" s="13"/>
    </row>
    <row r="65" spans="1:24" ht="28.5" hidden="1" customHeight="1">
      <c r="A65" s="5" t="s">
        <v>95</v>
      </c>
      <c r="B65" s="5" t="s">
        <v>96</v>
      </c>
      <c r="C65" s="56" t="s">
        <v>337</v>
      </c>
      <c r="D65" s="6">
        <v>30</v>
      </c>
      <c r="E65" s="6"/>
      <c r="F65" s="6"/>
      <c r="G65" s="6"/>
      <c r="H65" s="6"/>
      <c r="I65" s="6"/>
      <c r="J65" s="6"/>
      <c r="K65" s="6"/>
      <c r="L65" s="5"/>
      <c r="M65">
        <v>100</v>
      </c>
      <c r="N65" s="13">
        <v>1</v>
      </c>
      <c r="O65" s="13">
        <v>2</v>
      </c>
      <c r="P65" s="13"/>
      <c r="R65">
        <f>IF(Etusivu!L8=0,"",Etusivu!L8)</f>
        <v>1</v>
      </c>
      <c r="S65" t="str">
        <f>IF(Etusivu!L8&gt;=1,Laskenta!A77,"")</f>
        <v>TB</v>
      </c>
      <c r="T65" t="str">
        <f>IF(Etusivu!L8&gt;=1,Etusivu!L8&amp;" piece(s) of "&amp;Laskenta!B77,"")</f>
        <v>1 piece(s) of Integrated towelbar - polished stainless steel</v>
      </c>
      <c r="U65" s="18"/>
      <c r="V65" s="13"/>
      <c r="W65" s="13"/>
      <c r="X65" s="16"/>
    </row>
    <row r="66" spans="1:24" ht="28.5" hidden="1" customHeight="1">
      <c r="A66" s="5" t="s">
        <v>97</v>
      </c>
      <c r="B66" s="5" t="s">
        <v>98</v>
      </c>
      <c r="C66" s="56" t="s">
        <v>256</v>
      </c>
      <c r="D66" s="6">
        <v>38</v>
      </c>
      <c r="E66" s="6"/>
      <c r="F66" s="6"/>
      <c r="G66" s="6"/>
      <c r="H66" s="6"/>
      <c r="I66" s="6"/>
      <c r="J66" s="6"/>
      <c r="K66" s="6"/>
      <c r="L66" s="5"/>
      <c r="M66">
        <v>120</v>
      </c>
      <c r="N66" s="13">
        <v>2</v>
      </c>
      <c r="O66" s="13">
        <v>2</v>
      </c>
      <c r="P66" s="13">
        <v>2</v>
      </c>
      <c r="R66">
        <f>IF(Etusivu!N8=0,"",Etusivu!N8)</f>
        <v>1</v>
      </c>
      <c r="S66" t="str">
        <f>IF(Etusivu!N8&gt;=1,Laskenta!A78,"")</f>
        <v>TPD</v>
      </c>
      <c r="T66" t="str">
        <f>IF(Etusivu!L8&gt;=1,Etusivu!N8&amp;" piece(s) of "&amp;Laskenta!B78,"")</f>
        <v>1 piece(s) of Integrated tissue paper dispenser chrome finish</v>
      </c>
    </row>
    <row r="67" spans="1:24" ht="28.5" hidden="1" customHeight="1">
      <c r="A67" s="5" t="s">
        <v>310</v>
      </c>
      <c r="B67" s="5" t="s">
        <v>311</v>
      </c>
      <c r="C67" s="56" t="s">
        <v>338</v>
      </c>
      <c r="D67" s="6">
        <v>29</v>
      </c>
      <c r="E67" s="6"/>
      <c r="F67" s="6"/>
      <c r="G67" s="6"/>
      <c r="H67" s="6"/>
      <c r="I67" s="6"/>
      <c r="J67" s="6"/>
      <c r="K67" s="6"/>
      <c r="L67" s="5"/>
      <c r="M67">
        <v>140</v>
      </c>
      <c r="N67" s="13">
        <v>2</v>
      </c>
      <c r="O67" s="13">
        <v>2</v>
      </c>
      <c r="P67" s="13">
        <v>2</v>
      </c>
      <c r="R67">
        <f>IF(Etusivu!N8=0,"",Etusivu!N8)</f>
        <v>1</v>
      </c>
      <c r="S67" t="str">
        <f>IF(Etusivu!M8&gt;=1,Laskenta!A79,"")</f>
        <v>TS</v>
      </c>
      <c r="T67" t="str">
        <f>IF(Etusivu!M8&gt;=1,Etusivu!M8&amp;" piece(s) of "&amp;Laskenta!B79,"")</f>
        <v>1 piece(s) of Towelbar cutout (60*400 mm)</v>
      </c>
      <c r="V67" t="s">
        <v>367</v>
      </c>
    </row>
    <row r="68" spans="1:24" ht="28.5" hidden="1" customHeight="1">
      <c r="A68" s="5" t="s">
        <v>340</v>
      </c>
      <c r="B68" s="5" t="s">
        <v>342</v>
      </c>
      <c r="C68" s="56" t="s">
        <v>344</v>
      </c>
      <c r="D68" s="6">
        <v>12</v>
      </c>
      <c r="E68" s="6"/>
      <c r="F68" s="6"/>
      <c r="G68" s="6"/>
      <c r="H68" s="6"/>
      <c r="I68" s="6"/>
      <c r="J68" s="6"/>
      <c r="K68" s="6"/>
      <c r="L68" s="5"/>
      <c r="M68">
        <v>160</v>
      </c>
      <c r="N68" s="13">
        <v>2</v>
      </c>
      <c r="O68" s="13">
        <v>2</v>
      </c>
      <c r="P68" s="13">
        <v>2</v>
      </c>
    </row>
    <row r="69" spans="1:24" ht="28.5" hidden="1" customHeight="1">
      <c r="A69" s="5" t="s">
        <v>341</v>
      </c>
      <c r="B69" s="5" t="s">
        <v>343</v>
      </c>
      <c r="C69" s="56" t="s">
        <v>339</v>
      </c>
      <c r="D69" s="6">
        <v>41</v>
      </c>
      <c r="E69" s="6"/>
      <c r="F69" s="6"/>
      <c r="G69" s="6"/>
      <c r="H69" s="6"/>
      <c r="I69" s="6"/>
      <c r="J69" s="6"/>
      <c r="K69" s="6"/>
      <c r="L69" s="5"/>
      <c r="M69">
        <v>180</v>
      </c>
      <c r="N69" s="13"/>
      <c r="O69" s="13">
        <v>2</v>
      </c>
      <c r="P69" s="13"/>
    </row>
    <row r="70" spans="1:24" ht="28.5" hidden="1" customHeight="1">
      <c r="A70" s="5" t="s">
        <v>99</v>
      </c>
      <c r="B70" s="5" t="s">
        <v>100</v>
      </c>
      <c r="C70" s="5" t="s">
        <v>380</v>
      </c>
      <c r="D70" s="6">
        <v>48</v>
      </c>
      <c r="E70" s="6"/>
      <c r="F70" s="11"/>
      <c r="G70" s="11"/>
      <c r="H70" s="11"/>
      <c r="I70" s="11"/>
      <c r="J70" s="11"/>
      <c r="K70" s="11"/>
      <c r="L70" s="5"/>
      <c r="M70">
        <v>200</v>
      </c>
      <c r="N70" s="13"/>
      <c r="O70" s="13">
        <v>3</v>
      </c>
      <c r="P70" s="13"/>
    </row>
    <row r="71" spans="1:24" ht="28.5" hidden="1" customHeight="1">
      <c r="A71" s="5" t="s">
        <v>101</v>
      </c>
      <c r="B71" s="5" t="s">
        <v>102</v>
      </c>
      <c r="C71" s="5" t="s">
        <v>381</v>
      </c>
      <c r="D71" s="6">
        <v>24</v>
      </c>
      <c r="E71" s="6"/>
      <c r="F71" s="11"/>
      <c r="G71" s="11"/>
      <c r="H71" s="11"/>
      <c r="I71" s="11"/>
      <c r="J71" s="11"/>
      <c r="K71" s="11"/>
      <c r="L71" s="5"/>
      <c r="R71" s="18" t="s">
        <v>261</v>
      </c>
    </row>
    <row r="72" spans="1:24" ht="28.5" hidden="1" customHeight="1">
      <c r="A72" s="5" t="s">
        <v>346</v>
      </c>
      <c r="B72" s="5" t="s">
        <v>347</v>
      </c>
      <c r="C72" s="5" t="s">
        <v>385</v>
      </c>
      <c r="D72" s="6">
        <v>16</v>
      </c>
      <c r="E72" s="6"/>
      <c r="F72" s="11"/>
      <c r="G72" s="11"/>
      <c r="H72" s="11"/>
      <c r="I72" s="11"/>
      <c r="J72" s="11"/>
      <c r="K72" s="11"/>
      <c r="L72" s="5"/>
      <c r="N72" s="18" t="s">
        <v>172</v>
      </c>
      <c r="P72" s="18" t="s">
        <v>175</v>
      </c>
      <c r="R72">
        <f>IF(OR(Etusivu!A27="",Etusivu!B27=""),"",1)</f>
        <v>1</v>
      </c>
      <c r="S72" t="str">
        <f>IF(OR(Etusivu!A27="",Etusivu!B27=""),"",IF(AND(Etusivu!A27&gt;=600,Etusivu!A27&lt;=800)*AND(Etusivu!B27&gt;=400,Etusivu!B27&lt;=500),A30,IF(AND(Etusivu!A27&gt;=801,Etusivu!A27&lt;=1000)*AND(Etusivu!B27&gt;=400,Etusivu!B27&lt;=500),A31,IF(AND(Etusivu!A27&gt;=1001,Etusivu!A27&lt;=1200)*AND(Etusivu!B27&gt;=400,Etusivu!B27&lt;=500),A32,IF(AND(Etusivu!A27&gt;=1201,Etusivu!A27&lt;=1400)*AND(Etusivu!B27&gt;=400,Etusivu!B27&lt;=500),A33,IF(AND(Etusivu!A27&gt;=1401,Etusivu!A27&lt;=1600)*AND(Etusivu!B27&gt;=400,Etusivu!B27&lt;=500),A34,IF(AND(Etusivu!A27&gt;=1601,Etusivu!A27&lt;=1800)*AND(Etusivu!B27&gt;=400,Etusivu!B27&lt;=500),A35,IF(AND(Etusivu!A27&gt;=1801,Etusivu!A27&lt;=2000)*AND(Etusivu!B27&gt;=400,Etusivu!B27&lt;=500),A36,IF(AND(Etusivu!A27&gt;=2001,Etusivu!A27&lt;=2200)*AND(Etusivu!B27&gt;=400,Etusivu!B27&lt;=500),A37,IF(AND(Etusivu!A27&gt;=2201,Etusivu!A27&lt;=2400)*AND(Etusivu!B27&gt;=400,Etusivu!B27&lt;=500),A38,IF(AND(Etusivu!A27&gt;=2401,Etusivu!A27&lt;=2600)*AND(Etusivu!B27&gt;=400,Etusivu!B27&lt;=500),A39,IF(AND(Etusivu!A27&gt;=2601,Etusivu!A27&lt;=2800)*AND(Etusivu!B27&gt;=400,Etusivu!B27&lt;=500),A40,IF(AND(Etusivu!A27&gt;=2801,Etusivu!A27&lt;=3000)*AND(Etusivu!B27&gt;=400,Etusivu!B27&lt;=500),A41,IF(AND(Etusivu!A27&gt;=600,Etusivu!A27&lt;=800)*AND(Etusivu!B27&gt;=501,Etusivu!B27&lt;=610),A43,IF(AND(Etusivu!A27&gt;=801,Etusivu!A27&lt;=1000)*AND(Etusivu!B27&gt;=501,Etusivu!B27&lt;=610),A44,IF(AND(Etusivu!A27&gt;=1001,Etusivu!A27&lt;=1200)*AND(Etusivu!B27&gt;=501,Etusivu!B27&lt;=610),A45,IF(AND(Etusivu!A27&gt;=1201,Etusivu!A27&lt;=1400)*AND(Etusivu!B27&gt;=501,Etusivu!B27&lt;=610),A46,IF(AND(Etusivu!A27&gt;=1401,Etusivu!A27&lt;=1600)*AND(Etusivu!B27&gt;=501,Etusivu!B27&lt;=610),A47,IF(AND(Etusivu!A27&gt;=1601,Etusivu!A27&lt;=1800)*AND(Etusivu!B27&gt;=501,Etusivu!B27&lt;=610),A48,IF(AND(Etusivu!A27&gt;=1801,Etusivu!A27&lt;=2000)*AND(Etusivu!B27&gt;=501,Etusivu!B27&lt;=610),A49,IF(AND(Etusivu!A27&gt;=2001,Etusivu!A27&lt;=2200)*AND(Etusivu!B27&gt;=501,Etusivu!B27&lt;=610),A50,IF(AND(Etusivu!A27&gt;=2201,Etusivu!A27&lt;=2400)*AND(Etusivu!B27&gt;=501,Etusivu!B27&lt;=610),A51,IF(AND(Etusivu!A27&gt;=2401,Etusivu!A27&lt;=2600)*AND(Etusivu!B27&gt;=501,Etusivu!B27&lt;=610),A52,IF(AND(Etusivu!A27&gt;=2601,Etusivu!A27&lt;=2800)*AND(Etusivu!B27&gt;=501,Etusivu!B27&lt;=610),A53,IF(AND(Etusivu!A27&gt;=2801,Etusivu!A27&lt;=3000)*AND(Etusivu!B27&gt;=501,Etusivu!B27&lt;=610),A54,"Ei määrärajoissa")))))))))))))))))))))))))</f>
        <v>XS260/50</v>
      </c>
      <c r="T72" t="str">
        <f>IF(OR(Etusivu!A27="",Etusivu!B27=""),"",_xlfn.TEXTJOIN(" ",TRUE,"width:",Etusivu!A27,"mm","depth:",Etusivu!B27,"mm"))</f>
        <v>width: 2500 mm depth: 500 mm</v>
      </c>
    </row>
    <row r="73" spans="1:24" ht="28.5" hidden="1" customHeight="1">
      <c r="A73" s="5" t="s">
        <v>177</v>
      </c>
      <c r="B73" s="5" t="s">
        <v>348</v>
      </c>
      <c r="C73" s="5" t="s">
        <v>386</v>
      </c>
      <c r="D73" s="6">
        <v>16</v>
      </c>
      <c r="E73" s="11"/>
      <c r="F73" s="11"/>
      <c r="G73" s="11"/>
      <c r="H73" s="11"/>
      <c r="I73" s="11"/>
      <c r="J73" s="11"/>
      <c r="K73" s="11"/>
      <c r="L73" s="5"/>
      <c r="N73" t="s">
        <v>332</v>
      </c>
      <c r="P73" s="17" t="str">
        <f>IF(Etusivu!D8=N73,P15,IF(OR(Etusivu!D8=N74,Etusivu!D8=N75),Q14,IF(Etusivu!D8=N76,R14,"Ei määrärajoissa")))</f>
        <v>Ei määrärajoissa</v>
      </c>
      <c r="R73">
        <f>IF(Etusivu!C27=Laskenta!N110,"",1)</f>
        <v>1</v>
      </c>
      <c r="S73" t="str">
        <f>IF(Etusivu!C27=Laskenta!N73,"FS",IF(Etusivu!C27=Laskenta!N74,"FLS",IF(Etusivu!C27=Laskenta!N75,"FRS",IF(Etusivu!C27=Laskenta!N76,"FLRS",""))))</f>
        <v>FLS</v>
      </c>
      <c r="T73" t="str">
        <f>IF(Etusivu!C27=Laskenta!N73,"Skirting (Front) height: "&amp;Etusivu!D27,IF(Etusivu!C27=Laskenta!N74,"Skirting (Front and left side) height: "&amp;Etusivu!D27,IF(Etusivu!C27=Laskenta!N75,"Skirting (Front and right side) height: "&amp;Etusivu!D27,IF(Etusivu!C27=Laskenta!N76,"Skirting (Front and two sides) height: "&amp;Etusivu!D27,""))))</f>
        <v>Skirting (Front and left side) height: 150</v>
      </c>
    </row>
    <row r="74" spans="1:24" ht="28.5" hidden="1" customHeight="1">
      <c r="A74" s="5" t="s">
        <v>345</v>
      </c>
      <c r="B74" s="5" t="s">
        <v>349</v>
      </c>
      <c r="C74" s="5" t="s">
        <v>387</v>
      </c>
      <c r="D74" s="6">
        <v>16</v>
      </c>
      <c r="E74" s="11"/>
      <c r="F74" s="11"/>
      <c r="G74" s="11"/>
      <c r="H74" s="11"/>
      <c r="I74" s="11"/>
      <c r="J74" s="11"/>
      <c r="K74" s="11"/>
      <c r="L74" s="5"/>
      <c r="N74" t="s">
        <v>333</v>
      </c>
      <c r="R74">
        <f>IF(Etusivu!E27=Laskenta!N110,"",1)</f>
        <v>1</v>
      </c>
      <c r="S74" t="str">
        <f>IF(Etusivu!E27=Laskenta!N106,"BB",IF(Etusivu!E27=Laskenta!N107,"BLB",IF(Etusivu!E27=Laskenta!N108,"BRB",IF(Etusivu!E27=Laskenta!N109,"BLRB",""))))</f>
        <v>BB</v>
      </c>
      <c r="T74" t="str">
        <f>IF(Etusivu!E27=Laskenta!N106,"Splashboard (Back) height: "&amp;Etusivu!F27,IF(Etusivu!E27=Laskenta!N107,"Splashboard (Back and left side) height: "&amp;Etusivu!F27,IF(Etusivu!E27=Laskenta!N108,"Splashboard (Back and right side) height: "&amp;Etusivu!F27,IF(Etusivu!E27=Laskenta!N109,"Splashboard (Back and two sides) height: "&amp;Etusivu!F27,""))))</f>
        <v>Splashboard (Back) height: 30</v>
      </c>
    </row>
    <row r="75" spans="1:24" ht="28.5" hidden="1" customHeight="1">
      <c r="A75" s="5" t="s">
        <v>365</v>
      </c>
      <c r="B75" s="5" t="s">
        <v>366</v>
      </c>
      <c r="C75" s="5" t="s">
        <v>388</v>
      </c>
      <c r="D75" s="6"/>
      <c r="E75" s="11"/>
      <c r="F75" s="11"/>
      <c r="G75" s="11"/>
      <c r="H75" s="11"/>
      <c r="I75" s="11"/>
      <c r="J75" s="11"/>
      <c r="K75" s="11"/>
      <c r="L75" s="5"/>
      <c r="N75" t="s">
        <v>334</v>
      </c>
      <c r="R75" t="str">
        <f>IF(OR(Etusivu!G27=Laskenta!N104,Etusivu!G27="",Etusivu!H27=0,Etusivu!H27=""),"",Etusivu!H27)</f>
        <v/>
      </c>
      <c r="S75" t="str">
        <f>IF(OR(Etusivu!G27="",Etusivu!G27="ilman allasta",Etusivu!H27=0,Etusivu!H27=""),"",IF(Etusivu!G27=Laskenta!C57,Laskenta!A57,IF(Etusivu!G27=Laskenta!C58,Laskenta!A58,IF(Etusivu!G27=Laskenta!C59,Laskenta!A59,IF(Etusivu!G27=Laskenta!C62,Laskenta!A62,IF(Etusivu!G27=Laskenta!C63,Laskenta!A63,IF(Etusivu!G27=Laskenta!C60,Laskenta!A60,IF(Etusivu!G27=Laskenta!C61,Laskenta!A61,""))))))))</f>
        <v/>
      </c>
      <c r="T75" t="str">
        <f>IF(OR(Etusivu!G27=Laskenta!N104,Etusivu!G27="",Etusivu!H27=0,Etusivu!H27=""),"",Etusivu!H27&amp;" "&amp;VLOOKUP(Laskenta!S75,Laskenta!A57:B63,2,0)&amp;" basin(s)")</f>
        <v/>
      </c>
    </row>
    <row r="76" spans="1:24" ht="28.5" hidden="1" customHeight="1">
      <c r="A76" s="5" t="s">
        <v>350</v>
      </c>
      <c r="B76" s="5" t="s">
        <v>351</v>
      </c>
      <c r="C76" s="5" t="s">
        <v>352</v>
      </c>
      <c r="D76" s="6">
        <v>9</v>
      </c>
      <c r="E76" s="11"/>
      <c r="F76" s="11"/>
      <c r="G76" s="11"/>
      <c r="H76" s="11"/>
      <c r="I76" s="11"/>
      <c r="J76" s="11"/>
      <c r="K76" s="11"/>
      <c r="L76" s="5"/>
      <c r="N76" t="s">
        <v>335</v>
      </c>
      <c r="R76" t="str">
        <f>IF(Etusivu!I27=N94,"",Etusivu!H27)</f>
        <v/>
      </c>
      <c r="S76" t="str">
        <f>IF(Etusivu!I27=N93,Laskenta!A80,"")</f>
        <v/>
      </c>
      <c r="T76" t="str">
        <f>IF(Etusivu!I27=Laskenta!N93,"Mixer hole drilling for "&amp;Etusivu!H27&amp;" basin(s)","")</f>
        <v/>
      </c>
    </row>
    <row r="77" spans="1:24" ht="28.5" hidden="1" customHeight="1">
      <c r="A77" s="5" t="s">
        <v>103</v>
      </c>
      <c r="B77" s="5" t="s">
        <v>104</v>
      </c>
      <c r="C77" s="5" t="s">
        <v>370</v>
      </c>
      <c r="D77" s="6">
        <v>36</v>
      </c>
      <c r="E77" s="11"/>
      <c r="F77" s="11"/>
      <c r="G77" s="11"/>
      <c r="H77" s="11"/>
      <c r="I77" s="11"/>
      <c r="J77" s="11"/>
      <c r="K77" s="11"/>
      <c r="L77" s="5"/>
      <c r="N77" t="s">
        <v>252</v>
      </c>
      <c r="R77" t="str">
        <f>IF(OR(Etusivu!A34="",Etusivu!G27="ilman allasta",Etusivu!H27=0,Etusivu!H27=""),"",Etusivu!H27)</f>
        <v/>
      </c>
      <c r="S77" t="str">
        <f>IF(OR(Etusivu!A34="",Etusivu!G27="ilman allasta",Etusivu!H27=0,Etusivu!H27=""),"",IF(Etusivu!A34=N81,A64,IF(Etusivu!A34=N82,A65,IF(Etusivu!A34=N83,A67,""))))</f>
        <v/>
      </c>
      <c r="T77" t="str">
        <f>IF(S77=A64,B64&amp;" for "&amp;Etusivu!H27&amp;" basin(s)",IF(S77=A65,B65&amp;" for "&amp;Etusivu!H27&amp;" basin(s)",IF(S77=A66,B66&amp;" for "&amp;Etusivu!H27&amp;" basin(s)",IF(S77=A67,B67&amp;" for "&amp;Etusivu!H27&amp;" basin(s)",""))))</f>
        <v/>
      </c>
    </row>
    <row r="78" spans="1:24" ht="28.5" hidden="1" customHeight="1">
      <c r="A78" s="5" t="s">
        <v>105</v>
      </c>
      <c r="B78" s="5" t="s">
        <v>106</v>
      </c>
      <c r="C78" s="5" t="s">
        <v>369</v>
      </c>
      <c r="D78" s="6">
        <v>71</v>
      </c>
      <c r="E78" s="11"/>
      <c r="F78" s="11"/>
      <c r="G78" s="11"/>
      <c r="H78" s="11"/>
      <c r="I78" s="11"/>
      <c r="J78" s="11"/>
      <c r="K78" s="11"/>
      <c r="L78" s="5"/>
      <c r="R78" t="str">
        <f>IF(OR(Etusivu!B34="",Etusivu!B34="ilman vesilukkoa",Etusivu!G27="ilman allasta",Etusivu!H27=0,Etusivu!H27=""),"",Etusivu!H27)</f>
        <v/>
      </c>
      <c r="S78" t="str">
        <f>IF(OR(Etusivu!B34="",Etusivu!B34="ilman vesilukkoa",Etusivu!G27="ilman allasta",Etusivu!H27=0,Etusivu!H27=""),"",IF(Etusivu!B34=N89,A70,IF(Etusivu!B34=N90,A71,"")))</f>
        <v/>
      </c>
      <c r="T78" t="str">
        <f>IF(S78=A70,B70&amp;" for "&amp;Etusivu!H27&amp;" basin(s)",IF(S78=Laskenta!A71,Laskenta!B71&amp;" for "&amp;Etusivu!H27&amp;" basin(s)",""))</f>
        <v/>
      </c>
    </row>
    <row r="79" spans="1:24" ht="28.5" hidden="1" customHeight="1">
      <c r="A79" s="5" t="s">
        <v>304</v>
      </c>
      <c r="B79" s="5" t="s">
        <v>305</v>
      </c>
      <c r="C79" s="5" t="s">
        <v>368</v>
      </c>
      <c r="D79" s="6">
        <v>15</v>
      </c>
      <c r="E79" s="11"/>
      <c r="F79" s="11"/>
      <c r="G79" s="11"/>
      <c r="H79" s="11"/>
      <c r="I79" s="11"/>
      <c r="J79" s="11"/>
      <c r="K79" s="11"/>
      <c r="R79" t="str">
        <f>IF(Etusivu!G36&gt;0,Etusivu!G36,"")</f>
        <v/>
      </c>
      <c r="S79" t="str">
        <f>IF(Etusivu!G34=Laskenta!C72,Laskenta!A72,IF(Etusivu!G34=Laskenta!C73,Laskenta!A73,IF(Etusivu!G34=Laskenta!C74,Laskenta!A74,"")))</f>
        <v/>
      </c>
      <c r="T79" t="str">
        <f>IF(Etusivu!G36&gt;0,"Estimated "&amp;Etusivu!G36&amp;" set(s) of support arms, please confirm the amount","")</f>
        <v/>
      </c>
    </row>
    <row r="80" spans="1:24" ht="28.5" hidden="1" customHeight="1">
      <c r="A80" s="5" t="s">
        <v>245</v>
      </c>
      <c r="B80" s="5" t="s">
        <v>325</v>
      </c>
      <c r="C80" s="5" t="s">
        <v>326</v>
      </c>
      <c r="D80" s="6">
        <v>7</v>
      </c>
      <c r="E80" s="11"/>
      <c r="F80" s="11"/>
      <c r="G80" s="11"/>
      <c r="H80" s="11"/>
      <c r="I80" s="11"/>
      <c r="J80" s="11"/>
      <c r="K80" s="11"/>
      <c r="R80">
        <f>IF(OR(Etusivu!C36=0,Etusivu!C34=Laskenta!N127,Etusivu!C38="Vaatii vähintään 150 mm etureunan",Etusivu!C38="Vaatii FRS, FLS tai FLRS etureunan"),"",Etusivu!C36)</f>
        <v>1</v>
      </c>
      <c r="S80" t="str">
        <f>IF(OR(Etusivu!C36=0,Etusivu!C34=Laskenta!N127,Etusivu!C38="Vaatii vähintään 150 mm etureunan",Etusivu!C38="Vaatii FRS, FLS tai FLRS etureunan"),"",IF(Etusivu!C34=C77,A77,IF(Etusivu!C34=C79,A79,"")))</f>
        <v>TS</v>
      </c>
      <c r="T80" t="str">
        <f>IF(OR(Etusivu!C36=0,Etusivu!C34=N127,Etusivu!C38="Vaatii vähintään 150 mm etureunan",Etusivu!C38="Vaatii FRS, FLS tai FLRS etureunan"),"",Etusivu!C36&amp;" piece(s) of "&amp;IF(Etusivu!C34=C77,B77,IF(Etusivu!C34=C79,B79)))</f>
        <v>1 piece(s) of Towelbar cutout (60*400 mm)</v>
      </c>
    </row>
    <row r="81" spans="1:20" ht="28.5" hidden="1" customHeight="1">
      <c r="A81" s="5" t="s">
        <v>323</v>
      </c>
      <c r="B81" s="5" t="s">
        <v>377</v>
      </c>
      <c r="C81" s="5" t="s">
        <v>358</v>
      </c>
      <c r="D81" s="6">
        <v>18</v>
      </c>
      <c r="E81" s="11"/>
      <c r="F81" s="11"/>
      <c r="G81" s="11"/>
      <c r="H81" s="11"/>
      <c r="I81" s="11"/>
      <c r="J81" s="11"/>
      <c r="K81" s="11"/>
      <c r="N81" s="56" t="s">
        <v>336</v>
      </c>
      <c r="R81">
        <f>IF(OR(Etusivu!D36=0,Etusivu!D34=N130,Etusivu!D38="Vaatii vähintään 150 mm etureunan"),"",Etusivu!D36)</f>
        <v>1</v>
      </c>
      <c r="S81" t="str">
        <f>IF(OR(Etusivu!D36=0,Etusivu!D34=N130,Etusivu!D38="Vaatii vähintään 150 mm etureunan"),"",A78)</f>
        <v>TPD</v>
      </c>
      <c r="T81" t="str">
        <f>IF(OR(Etusivu!D36=0,Etusivu!D34=N130,Etusivu!D38="Vaatii vähintään 150 mm etureunan"),"",Etusivu!D36&amp;" piece(s) of "&amp;B78)</f>
        <v>1 piece(s) of Integrated tissue paper dispenser chrome finish</v>
      </c>
    </row>
    <row r="82" spans="1:20" ht="28.5" hidden="1" customHeight="1">
      <c r="A82" s="5" t="s">
        <v>324</v>
      </c>
      <c r="B82" s="5" t="s">
        <v>378</v>
      </c>
      <c r="C82" s="5" t="s">
        <v>360</v>
      </c>
      <c r="D82" s="6">
        <v>7</v>
      </c>
      <c r="E82" s="11"/>
      <c r="F82" s="11"/>
      <c r="G82" s="11"/>
      <c r="H82" s="11"/>
      <c r="I82" s="11"/>
      <c r="J82" s="11"/>
      <c r="K82" s="11"/>
      <c r="N82" s="56" t="s">
        <v>337</v>
      </c>
      <c r="R82">
        <f>IF(OR(Etusivu!E36=0,Etusivu!E34=N113),"",Etusivu!E36)</f>
        <v>1</v>
      </c>
      <c r="S82" t="str">
        <f>IF(OR(Etusivu!E36=0,Etusivu!E34=N113),"",A81)</f>
        <v>GH</v>
      </c>
      <c r="T82" t="str">
        <f>IF(AND(Etusivu!E36&gt;=1,Etusivu!E34=C81),Etusivu!E36&amp;" piece(s) of "&amp;B81,"")</f>
        <v>1 piece(s) of Garbage bin hole on the tabletop (Ø 150 mm), finished edges</v>
      </c>
    </row>
    <row r="83" spans="1:20" ht="28.5" hidden="1" customHeight="1">
      <c r="A83" s="50" t="s">
        <v>107</v>
      </c>
      <c r="B83" s="5"/>
      <c r="C83" s="5"/>
      <c r="D83" s="11"/>
      <c r="E83" s="11"/>
      <c r="F83" s="11"/>
      <c r="G83" s="11"/>
      <c r="H83" s="11"/>
      <c r="I83" s="11"/>
      <c r="J83" s="11"/>
      <c r="K83" s="11"/>
      <c r="N83" s="56" t="s">
        <v>338</v>
      </c>
      <c r="R83" t="str">
        <f>IF(OR(Etusivu!F36=0,Etusivu!F34=N117),"",Etusivu!F36)</f>
        <v/>
      </c>
      <c r="S83" t="str">
        <f>IF(OR(Etusivu!F36=0,Etusivu!F34=N117),"",A82)</f>
        <v/>
      </c>
      <c r="T83" t="str">
        <f>IF(AND(Etusivu!F36&gt;=1,Etusivu!F34=C82),Etusivu!F36&amp;" piece(s) of "&amp;B82,"")</f>
        <v/>
      </c>
    </row>
    <row r="84" spans="1:20" ht="28.5" hidden="1" customHeight="1">
      <c r="A84" s="5" t="s">
        <v>108</v>
      </c>
      <c r="B84" s="5"/>
      <c r="C84" s="5"/>
      <c r="D84" s="11"/>
      <c r="E84" s="11"/>
      <c r="F84" s="11"/>
      <c r="G84" s="11"/>
      <c r="H84" s="11"/>
      <c r="I84" s="11"/>
      <c r="J84" s="11"/>
      <c r="K84" s="11"/>
      <c r="N84" s="56" t="s">
        <v>384</v>
      </c>
    </row>
    <row r="85" spans="1:20" ht="28.5" hidden="1" customHeight="1">
      <c r="A85" s="5" t="s">
        <v>109</v>
      </c>
      <c r="B85" s="5"/>
      <c r="C85" s="5"/>
      <c r="D85" s="11"/>
      <c r="E85" s="11"/>
      <c r="N85" s="56"/>
    </row>
    <row r="86" spans="1:20" ht="28.5" hidden="1" customHeight="1">
      <c r="A86" s="5" t="s">
        <v>110</v>
      </c>
      <c r="B86" s="5"/>
      <c r="C86" s="5"/>
      <c r="D86" s="11"/>
    </row>
    <row r="87" spans="1:20" ht="28.5" hidden="1" customHeight="1">
      <c r="A87" s="5" t="s">
        <v>111</v>
      </c>
      <c r="B87" s="5"/>
      <c r="C87" s="5"/>
      <c r="D87" s="11"/>
    </row>
    <row r="88" spans="1:20" ht="28.5" hidden="1" customHeight="1">
      <c r="A88" s="5" t="s">
        <v>112</v>
      </c>
      <c r="B88" s="5"/>
      <c r="C88" s="5"/>
      <c r="D88" s="11"/>
    </row>
    <row r="89" spans="1:20" ht="28.5" hidden="1" customHeight="1">
      <c r="A89" s="50" t="s">
        <v>113</v>
      </c>
      <c r="B89" s="5"/>
      <c r="C89" s="5"/>
      <c r="D89" s="11"/>
      <c r="N89" s="56" t="s">
        <v>380</v>
      </c>
    </row>
    <row r="90" spans="1:20" ht="28.5" hidden="1" customHeight="1">
      <c r="A90" s="5" t="s">
        <v>114</v>
      </c>
      <c r="B90" s="5"/>
      <c r="C90" s="5"/>
      <c r="D90" s="11"/>
      <c r="N90" s="56" t="s">
        <v>381</v>
      </c>
    </row>
    <row r="91" spans="1:20" ht="28.5" hidden="1" customHeight="1">
      <c r="A91" s="5" t="s">
        <v>115</v>
      </c>
      <c r="B91" s="5"/>
      <c r="C91" s="5"/>
      <c r="D91" s="11"/>
      <c r="N91" t="s">
        <v>253</v>
      </c>
    </row>
    <row r="92" spans="1:20" ht="28.5" hidden="1" customHeight="1">
      <c r="A92" s="50" t="s">
        <v>116</v>
      </c>
      <c r="B92" s="5"/>
      <c r="C92" s="5"/>
      <c r="D92" s="11"/>
    </row>
    <row r="93" spans="1:20" ht="28.5" hidden="1" customHeight="1">
      <c r="A93" s="5" t="s">
        <v>117</v>
      </c>
      <c r="B93" s="5"/>
      <c r="C93" s="5"/>
      <c r="D93" s="11"/>
      <c r="N93" t="s">
        <v>357</v>
      </c>
    </row>
    <row r="94" spans="1:20" ht="28.5" hidden="1" customHeight="1">
      <c r="A94" s="5" t="s">
        <v>118</v>
      </c>
      <c r="B94" s="5"/>
      <c r="C94" s="5"/>
      <c r="D94" s="11"/>
      <c r="N94" t="s">
        <v>254</v>
      </c>
    </row>
    <row r="95" spans="1:20" ht="28.5" hidden="1" customHeight="1">
      <c r="A95" s="5" t="s">
        <v>119</v>
      </c>
      <c r="B95" s="5"/>
      <c r="C95" s="5"/>
      <c r="D95" s="11"/>
    </row>
    <row r="96" spans="1:20" ht="28.5" hidden="1" customHeight="1">
      <c r="A96" s="5" t="s">
        <v>120</v>
      </c>
      <c r="B96" s="5"/>
      <c r="C96" s="5"/>
      <c r="D96" s="11"/>
    </row>
    <row r="97" spans="1:14" ht="28.5" hidden="1" customHeight="1">
      <c r="A97" s="5" t="s">
        <v>121</v>
      </c>
      <c r="B97" s="5"/>
      <c r="C97" s="5"/>
      <c r="D97" s="11"/>
      <c r="N97" s="56" t="s">
        <v>316</v>
      </c>
    </row>
    <row r="98" spans="1:14" ht="28.5" hidden="1" customHeight="1">
      <c r="A98" s="53" t="s">
        <v>179</v>
      </c>
      <c r="N98" s="56" t="s">
        <v>317</v>
      </c>
    </row>
    <row r="99" spans="1:14" ht="28.5" hidden="1" customHeight="1">
      <c r="A99" s="52" t="s">
        <v>180</v>
      </c>
      <c r="B99" s="52" t="s">
        <v>306</v>
      </c>
      <c r="D99">
        <v>40</v>
      </c>
      <c r="N99" s="56" t="s">
        <v>318</v>
      </c>
    </row>
    <row r="100" spans="1:14" ht="28.5" hidden="1" customHeight="1">
      <c r="A100" s="52" t="s">
        <v>180</v>
      </c>
      <c r="B100" t="s">
        <v>181</v>
      </c>
      <c r="N100" s="56" t="s">
        <v>319</v>
      </c>
    </row>
    <row r="101" spans="1:14" ht="28.5" hidden="1" customHeight="1">
      <c r="N101" s="56" t="s">
        <v>320</v>
      </c>
    </row>
    <row r="102" spans="1:14" ht="28.5" hidden="1" customHeight="1">
      <c r="A102" s="77" t="s">
        <v>293</v>
      </c>
      <c r="N102" t="s">
        <v>321</v>
      </c>
    </row>
    <row r="103" spans="1:14" ht="28.5" hidden="1" customHeight="1">
      <c r="A103" s="56" t="s">
        <v>292</v>
      </c>
      <c r="B103">
        <v>25</v>
      </c>
      <c r="N103" t="s">
        <v>322</v>
      </c>
    </row>
    <row r="104" spans="1:14" ht="28.5" hidden="1" customHeight="1">
      <c r="A104" s="56" t="s">
        <v>290</v>
      </c>
      <c r="B104">
        <v>35</v>
      </c>
      <c r="N104" s="56" t="s">
        <v>262</v>
      </c>
    </row>
    <row r="105" spans="1:14" ht="28.5" hidden="1" customHeight="1">
      <c r="A105" s="56" t="s">
        <v>291</v>
      </c>
      <c r="B105">
        <v>45</v>
      </c>
    </row>
    <row r="106" spans="1:14" ht="28.5" hidden="1" customHeight="1">
      <c r="N106" t="s">
        <v>353</v>
      </c>
    </row>
    <row r="107" spans="1:14" ht="28.5" hidden="1" customHeight="1">
      <c r="N107" t="s">
        <v>354</v>
      </c>
    </row>
    <row r="108" spans="1:14" ht="28.5" hidden="1" customHeight="1">
      <c r="N108" t="s">
        <v>355</v>
      </c>
    </row>
    <row r="109" spans="1:14" ht="28.5" hidden="1" customHeight="1">
      <c r="N109" t="s">
        <v>356</v>
      </c>
    </row>
    <row r="110" spans="1:14" ht="28.5" hidden="1" customHeight="1">
      <c r="N110" t="s">
        <v>252</v>
      </c>
    </row>
    <row r="112" spans="1:14" ht="28.5" hidden="1" customHeight="1">
      <c r="N112" t="s">
        <v>358</v>
      </c>
    </row>
    <row r="113" spans="14:14" ht="28.5" hidden="1" customHeight="1">
      <c r="N113" t="s">
        <v>359</v>
      </c>
    </row>
    <row r="116" spans="14:14" ht="28.5" hidden="1" customHeight="1">
      <c r="N116" t="s">
        <v>360</v>
      </c>
    </row>
    <row r="117" spans="14:14" ht="28.5" hidden="1" customHeight="1">
      <c r="N117" t="s">
        <v>361</v>
      </c>
    </row>
    <row r="120" spans="14:14" ht="28.5" hidden="1" customHeight="1">
      <c r="N120" t="s">
        <v>385</v>
      </c>
    </row>
    <row r="121" spans="14:14" ht="28.5" hidden="1" customHeight="1">
      <c r="N121" t="s">
        <v>386</v>
      </c>
    </row>
    <row r="122" spans="14:14" ht="28.5" hidden="1" customHeight="1">
      <c r="N122" t="s">
        <v>387</v>
      </c>
    </row>
    <row r="123" spans="14:14" ht="28.5" hidden="1" customHeight="1">
      <c r="N123" t="s">
        <v>364</v>
      </c>
    </row>
    <row r="125" spans="14:14" ht="28.5" hidden="1" customHeight="1">
      <c r="N125" t="s">
        <v>370</v>
      </c>
    </row>
    <row r="126" spans="14:14" ht="28.5" hidden="1" customHeight="1">
      <c r="N126" t="s">
        <v>368</v>
      </c>
    </row>
    <row r="127" spans="14:14" ht="28.5" hidden="1" customHeight="1">
      <c r="N127" t="s">
        <v>371</v>
      </c>
    </row>
    <row r="129" spans="14:14" ht="28.5" hidden="1" customHeight="1">
      <c r="N129" t="s">
        <v>369</v>
      </c>
    </row>
    <row r="130" spans="14:14" ht="28.5" hidden="1" customHeight="1">
      <c r="N130" t="s">
        <v>374</v>
      </c>
    </row>
  </sheetData>
  <sheetProtection algorithmName="SHA-512" hashValue="ha/+NQ6CKnXbpIb8UqOppFjKzXWfCsLQ36vX5QmN/1C3Ucli6/K3wPYapPQlzDXSu8aJ/dVLmnkhOxXXbJn/Hw==" saltValue="fH50NF5P9tasYyJmlycR9A==" spinCount="100000" sheet="1" selectLockedCells="1" selectUnlockedCells="1"/>
  <mergeCells count="6">
    <mergeCell ref="P40:R40"/>
    <mergeCell ref="O1:Q1"/>
    <mergeCell ref="M1:N1"/>
    <mergeCell ref="M27:N27"/>
    <mergeCell ref="O27:Q27"/>
    <mergeCell ref="P22:R22"/>
  </mergeCells>
  <phoneticPr fontId="7" type="noConversion"/>
  <dataValidations count="4">
    <dataValidation type="list" allowBlank="1" showInputMessage="1" showErrorMessage="1" sqref="S4 T30" xr:uid="{CBDC92FE-9ABD-4967-8757-753FEE7007F9}">
      <formula1>$C$64:$C$66</formula1>
    </dataValidation>
    <dataValidation type="list" allowBlank="1" showInputMessage="1" showErrorMessage="1" sqref="T4 U30" xr:uid="{387E0ADC-5CD6-417A-AFEE-0598D70A19D2}">
      <formula1>$C$70:$C$71</formula1>
    </dataValidation>
    <dataValidation type="list" allowBlank="1" showInputMessage="1" showErrorMessage="1" sqref="M4" xr:uid="{0FBA0D10-1607-4920-ACCB-CC156C0A709C}">
      <formula1>$N$57:$N$60</formula1>
    </dataValidation>
    <dataValidation type="list" allowBlank="1" showInputMessage="1" showErrorMessage="1" sqref="R30" xr:uid="{6505B364-4AF7-42BD-89B4-449AAF37474A}">
      <formula1>$C$57:$C$63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Etusivu</vt:lpstr>
      <vt:lpstr>Laskenta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 Malinen</dc:creator>
  <cp:lastModifiedBy>Mikko Malinen</cp:lastModifiedBy>
  <cp:lastPrinted>2020-09-30T06:42:56Z</cp:lastPrinted>
  <dcterms:created xsi:type="dcterms:W3CDTF">2020-07-01T14:00:57Z</dcterms:created>
  <dcterms:modified xsi:type="dcterms:W3CDTF">2024-10-17T11:13:06Z</dcterms:modified>
</cp:coreProperties>
</file>